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worksheets/sheet6.xml" ContentType="application/vnd.openxmlformats-officedocument.spreadsheetml.worksheet+xml"/>
  <Override PartName="/xl/comments/comment6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odel" sheetId="1" state="visible" r:id="rId1"/>
    <sheet name="Revenue Build" sheetId="2" state="visible" r:id="rId2"/>
    <sheet name="Working Capital" sheetId="3" state="visible" r:id="rId3"/>
    <sheet name="PP&amp;E and D&amp;A" sheetId="4" state="visible" r:id="rId4"/>
    <sheet name="Debt and Equity" sheetId="5" state="visible" r:id="rId5"/>
    <sheet name="Sources" sheetId="6" state="visible" r:id="rId6"/>
  </sheets>
  <definedNames/>
  <calcPr calcId="124519" calcMode="auto" fullCalcOnLoad="1" forceFullCalc="1"/>
</workbook>
</file>

<file path=xl/styles.xml><?xml version="1.0" encoding="utf-8"?>
<styleSheet xmlns="http://schemas.openxmlformats.org/spreadsheetml/2006/main">
  <numFmts count="3">
    <numFmt numFmtId="164" formatCode="#,##0.0;(#,##0.0);0.0"/>
    <numFmt numFmtId="165" formatCode="0.0%;-0.0%;0.0%"/>
    <numFmt numFmtId="166" formatCode="#,##0.00;(#,##0.00);0.00"/>
  </numFmts>
  <fonts count="6">
    <font>
      <name val="Calibri"/>
      <family val="2"/>
      <color theme="1"/>
      <sz val="11"/>
      <scheme val="minor"/>
    </font>
    <font>
      <name val="Calibri"/>
      <b val="1"/>
      <color rgb="00262626"/>
      <sz val="9.5"/>
    </font>
    <font>
      <name val="Calibri"/>
      <b val="1"/>
      <sz val="9.5"/>
    </font>
    <font>
      <name val="Calibri"/>
      <sz val="9.5"/>
    </font>
    <font>
      <name val="Calibri"/>
      <b val="1"/>
      <color rgb="001D4ED8"/>
      <sz val="9.5"/>
    </font>
    <font>
      <name val="Calibri"/>
      <color rgb="001D4ED8"/>
      <sz val="9.5"/>
    </font>
  </fonts>
  <fills count="6">
    <fill>
      <patternFill/>
    </fill>
    <fill>
      <patternFill patternType="gray125"/>
    </fill>
    <fill>
      <patternFill patternType="solid">
        <fgColor rgb="00D4D4D4"/>
        <bgColor rgb="00D4D4D4"/>
      </patternFill>
    </fill>
    <fill>
      <patternFill patternType="solid">
        <fgColor rgb="00E5E5E5"/>
        <bgColor rgb="00E5E5E5"/>
      </patternFill>
    </fill>
    <fill>
      <patternFill patternType="solid">
        <fgColor rgb="00F5F5F5"/>
        <bgColor rgb="00F5F5F5"/>
      </patternFill>
    </fill>
    <fill>
      <patternFill patternType="solid">
        <fgColor rgb="00EDEDED"/>
        <bgColor rgb="00EDEDED"/>
      </patternFill>
    </fill>
  </fills>
  <borders count="2">
    <border>
      <left/>
      <right/>
      <top/>
      <bottom/>
      <diagonal/>
    </border>
    <border>
      <left style="thin">
        <color rgb="00E5E5E5"/>
      </left>
      <right style="thin">
        <color rgb="00E5E5E5"/>
      </right>
      <top style="thin">
        <color rgb="00E5E5E5"/>
      </top>
      <bottom style="thin">
        <color rgb="00E5E5E5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1" fillId="3" borderId="0" applyAlignment="1" pivotButton="0" quotePrefix="0" xfId="0">
      <alignment horizontal="left" vertical="center"/>
    </xf>
    <xf numFmtId="0" fontId="1" fillId="3" borderId="0" applyAlignment="1" pivotButton="0" quotePrefix="0" xfId="0">
      <alignment horizontal="center" vertical="center"/>
    </xf>
    <xf numFmtId="0" fontId="1" fillId="4" borderId="0" applyAlignment="1" pivotButton="0" quotePrefix="0" xfId="0">
      <alignment horizontal="center" vertical="center"/>
    </xf>
    <xf numFmtId="0" fontId="1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center" vertical="center"/>
    </xf>
    <xf numFmtId="0" fontId="2" fillId="0" borderId="1" applyAlignment="1" pivotButton="0" quotePrefix="0" xfId="0">
      <alignment horizontal="right" vertical="center"/>
    </xf>
    <xf numFmtId="164" fontId="2" fillId="0" borderId="1" applyAlignment="1" pivotButton="0" quotePrefix="0" xfId="0">
      <alignment horizontal="right" vertical="center"/>
    </xf>
    <xf numFmtId="164" fontId="4" fillId="5" borderId="1" applyAlignment="1" pivotButton="0" quotePrefix="0" xfId="0">
      <alignment horizontal="right" vertical="center"/>
    </xf>
    <xf numFmtId="0" fontId="2" fillId="4" borderId="1" applyAlignment="1" pivotButton="0" quotePrefix="0" xfId="0">
      <alignment horizontal="right" vertical="center"/>
    </xf>
    <xf numFmtId="0" fontId="3" fillId="0" borderId="0" applyAlignment="1" pivotButton="0" quotePrefix="0" xfId="0">
      <alignment horizontal="left" vertical="center"/>
    </xf>
    <xf numFmtId="0" fontId="3" fillId="0" borderId="1" applyAlignment="1" pivotButton="0" quotePrefix="0" xfId="0">
      <alignment horizontal="right" vertical="center"/>
    </xf>
    <xf numFmtId="165" fontId="3" fillId="0" borderId="1" applyAlignment="1" pivotButton="0" quotePrefix="0" xfId="0">
      <alignment horizontal="right" vertical="center"/>
    </xf>
    <xf numFmtId="165" fontId="3" fillId="4" borderId="1" applyAlignment="1" pivotButton="0" quotePrefix="0" xfId="0">
      <alignment horizontal="right" vertical="center"/>
    </xf>
    <xf numFmtId="165" fontId="5" fillId="5" borderId="1" applyAlignment="1" pivotButton="0" quotePrefix="0" xfId="0">
      <alignment horizontal="right" vertical="center"/>
    </xf>
    <xf numFmtId="166" fontId="3" fillId="0" borderId="1" applyAlignment="1" pivotButton="0" quotePrefix="0" xfId="0">
      <alignment horizontal="right" vertical="center"/>
    </xf>
    <xf numFmtId="166" fontId="5" fillId="5" borderId="1" applyAlignment="1" pivotButton="0" quotePrefix="0" xfId="0">
      <alignment horizontal="right" vertical="center"/>
    </xf>
    <xf numFmtId="164" fontId="3" fillId="0" borderId="1" applyAlignment="1" pivotButton="0" quotePrefix="0" xfId="0">
      <alignment horizontal="right" vertical="center"/>
    </xf>
    <xf numFmtId="164" fontId="5" fillId="5" borderId="1" applyAlignment="1" pivotButton="0" quotePrefix="0" xfId="0">
      <alignment horizontal="right" vertical="center"/>
    </xf>
    <xf numFmtId="164" fontId="3" fillId="4" borderId="1" applyAlignment="1" pivotButton="0" quotePrefix="0" xfId="0">
      <alignment horizontal="right" vertical="center"/>
    </xf>
    <xf numFmtId="164" fontId="2" fillId="4" borderId="1" applyAlignment="1" pivotButton="0" quotePrefix="0" xfId="0">
      <alignment horizontal="right" vertical="center"/>
    </xf>
    <xf numFmtId="165" fontId="2" fillId="0" borderId="1" applyAlignment="1" pivotButton="0" quotePrefix="0" xfId="0">
      <alignment horizontal="right" vertical="center"/>
    </xf>
    <xf numFmtId="165" fontId="4" fillId="5" borderId="1" applyAlignment="1" pivotButton="0" quotePrefix="0" xfId="0">
      <alignment horizontal="right" vertical="center"/>
    </xf>
    <xf numFmtId="166" fontId="2" fillId="0" borderId="1" applyAlignment="1" pivotButton="0" quotePrefix="0" xfId="0">
      <alignment horizontal="right" vertical="center"/>
    </xf>
    <xf numFmtId="166" fontId="2" fillId="4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right" vertical="center"/>
    </xf>
    <xf numFmtId="165" fontId="2" fillId="4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comments/comment1.xml><?xml version="1.0" encoding="utf-8"?>
<comments xmlns="http://schemas.openxmlformats.org/spreadsheetml/2006/main">
  <authors>
    <author>Primer</author>
  </authors>
  <commentList>
    <comment ref="E4" authorId="0" shapeId="0">
      <text>
        <t>Consensus estimate-series value as of 2026-05-24; used as a check against actual FY2025 revenue. Source_ref sr_QUBTt8pmWCkl.</t>
      </text>
    </comment>
    <comment ref="F4" authorId="0" shapeId="0">
      <text>
        <t>Consensus average revenue estimate as of 2026-05-24; 37 analysts; source_ref sr_QUBTt8pmWCkl.</t>
      </text>
    </comment>
    <comment ref="G4" authorId="0" shapeId="0">
      <text>
        <t>Consensus average revenue estimate as of 2026-05-24; 42 analysts; source_ref sr_QUBTt8pmWCkl.</t>
      </text>
    </comment>
    <comment ref="E5" authorId="0" shapeId="0">
      <text>
        <t>Consensus estimate-series value as of 2026-05-24; actual diluted EPS was $7.46. Source_ref sr_QUBTt8pmWCkl.</t>
      </text>
    </comment>
    <comment ref="F5" authorId="0" shapeId="0">
      <text>
        <t>Consensus average EPS estimate as of 2026-05-24; 42 analysts; source_ref sr_QUBTt8pmWCkl.</t>
      </text>
    </comment>
    <comment ref="G5" authorId="0" shapeId="0">
      <text>
        <t>Consensus average EPS estimate as of 2026-05-24; 43 analysts; source_ref sr_QUBTt8pmWCkl.</t>
      </text>
    </comment>
    <comment ref="F6" authorId="0" shapeId="0">
      <text>
        <t>iPhone is the residual revenue line in FY2026 to reconcile product category build to consensus total revenue; this implies a strong upgrade/product-cycle year after the iPhone 17 launch and Q4 FY2025 iPhone record.</t>
      </text>
    </comment>
    <comment ref="G6" authorId="0" shapeId="0">
      <text>
        <t>FY2027 iPhone is residual to consensus total revenue after explicit Services and non-iPhone hardware growth assumptions.</t>
      </text>
    </comment>
    <comment ref="H6" authorId="0" shapeId="0">
      <text>
        <t>Extrapolated beyond available consensus: assume iPhone growth normalizes after FY2026-FY2027 cycle strength.</t>
      </text>
    </comment>
    <comment ref="I6" authorId="0" shapeId="0">
      <text>
        <t>Extrapolated beyond available consensus: mature iPhone franchise grows modestly with mix/ASP rather than major unit acceleration.</t>
      </text>
    </comment>
    <comment ref="F7" authorId="0" shapeId="0">
      <text>
        <t>Assume moderate growth from MacBook Pro / iPad Pro M5 cycle commentary in Q4 FY2025 press release; below FY2025's 12% rebound.</t>
      </text>
    </comment>
    <comment ref="F8" authorId="0" shapeId="0">
      <text>
        <t>Assume low-single-digit iPad growth following FY2025 recovery; category remains more replacement-cycle driven than structural.</t>
      </text>
    </comment>
    <comment ref="F9" authorId="0" shapeId="0">
      <text>
        <t>Assume stabilization after FY2024-FY2025 declines, helped by AirPods Pro 3 and Apple Watch refresh referenced in the Q4 FY2025 press release.</t>
      </text>
    </comment>
    <comment ref="F10" authorId="0" shapeId="0">
      <text>
        <t>Services set an all-time record in Q4 FY2025 and grew 13.5% in FY2025; assume low-teens continuation but slight moderation.</t>
      </text>
    </comment>
    <comment ref="G10" authorId="0" shapeId="0">
      <text>
        <t>Services remains the key structural grower; modest moderation reflects larger base and regulatory risk.</t>
      </text>
    </comment>
    <comment ref="E11" authorId="0" shapeId="0">
      <text>
        <t>FY2025 products gross margin was 36.8% in Apple FY2025 Form 10-K gross margin detail [L:774-788].</t>
      </text>
    </comment>
    <comment ref="F11" authorId="0" shapeId="0">
      <text>
        <t>Assume product margin dips from 36.8% FY2025 due tariffs/mix normalization, partly offset by premium iPhone mix.</t>
      </text>
    </comment>
    <comment ref="G11" authorId="0" shapeId="0">
      <text>
        <t>Assume modest recovery as mix and procurement offset tariff/frictional cost pressure.</t>
      </text>
    </comment>
    <comment ref="E12" authorId="0" shapeId="0">
      <text>
        <t>FY2025 Services gross margin was 75.4% in Apple FY2025 Form 10-K gross margin detail [L:774-788].</t>
      </text>
    </comment>
    <comment ref="F12" authorId="0" shapeId="0">
      <text>
        <t>Assume Services margin holds near FY2025 level as scale offsets regulatory and mix risk.</t>
      </text>
    </comment>
    <comment ref="G12" authorId="0" shapeId="0">
      <text>
        <t>Slight expansion as Services mix and scale continue, below a straight-line extrapolation to avoid over-crediting margin gains.</t>
      </text>
    </comment>
    <comment ref="F13" authorId="0" shapeId="0">
      <text>
        <t>R&amp;D growth remains elevated for AI/infrastructure/product engineering investment; below FY2026 Q1 run-rate acceleration noted in Primer context.</t>
      </text>
    </comment>
    <comment ref="G13" authorId="0" shapeId="0">
      <text>
        <t>Continue elevated investment; forecast intentionally does not assume near-term operating leverage from R&amp;D.</t>
      </text>
    </comment>
    <comment ref="F14" authorId="0" shapeId="0">
      <text>
        <t>SG&amp;A grows ahead of FY2025 due launch/Services scale and general cost inflation, but below revenue growth.</t>
      </text>
    </comment>
    <comment ref="E15" authorId="0" shapeId="0">
      <text>
        <t>FY2025 effective tax rate calculated from Apple FY2025 Form 10-K tax provision and pretax income [L:965-999].</t>
      </text>
    </comment>
    <comment ref="F15" authorId="0" shapeId="0">
      <text>
        <t>Normalize near FY2025 rate; FY2024 was distorted by a one-time tax charge.</t>
      </text>
    </comment>
    <comment ref="F16" authorId="0" shapeId="0">
      <text>
        <t>Assume ongoing buyback-driven diluted share count decline, broadly consistent with Apple capital return history.</t>
      </text>
    </comment>
    <comment ref="E17" authorId="0" shapeId="0">
      <text>
        <t>FY2025 dividend cash paid from Apple FY2025 Form 10-K cash flow statement [L:1112-1156]; dividend per share derived from diluted shares.</t>
      </text>
    </comment>
    <comment ref="F17" authorId="0" shapeId="0">
      <text>
        <t>Apple declared a $0.26 quarterly dividend in the Q4 FY2025 release; annualized $1.04, with modest growth assumed.</t>
      </text>
    </comment>
    <comment ref="F18" authorId="0" shapeId="0">
      <text>
        <t>Forecast AR days normalize modestly below FY2025 but above FY2023-FY2024, reflecting stronger revenue base and launch-cycle seasonality.</t>
      </text>
    </comment>
    <comment ref="F19" authorId="0" shapeId="0">
      <text>
        <t>Assume inventory days near FY2025 level; Apple remains structurally low-inventory.</t>
      </text>
    </comment>
    <comment ref="F20" authorId="0" shapeId="0">
      <text>
        <t>Assume AP days near FY2025 level and below FY2024 peak.</t>
      </text>
    </comment>
    <comment ref="F21" authorId="0" shapeId="0">
      <text>
        <t>FY2025 capex stepped up to $12.7bn; forecast keeps capex elevated for AI/infrastructure/product investments.</t>
      </text>
    </comment>
    <comment ref="F22" authorId="0" shapeId="0">
      <text>
        <t>Assume current securities balance remains conservative as Apple continues large capital returns.</t>
      </text>
    </comment>
    <comment ref="F23" authorId="0" shapeId="0">
      <text>
        <t>Assume continued rundown of long-term securities as excess capital is returned to shareholders.</t>
      </text>
    </comment>
    <comment ref="F24" authorId="0" shapeId="0">
      <text>
        <t>Forecast D&amp;A broadly in line with recent depreciation intensity.</t>
      </text>
    </comment>
    <comment ref="F25" authorId="0" shapeId="0">
      <text>
        <t>Held near FY2025 SBC intensity.</t>
      </text>
    </comment>
    <comment ref="C27" authorId="0" shapeId="0">
      <text>
        <t>FY2023 iPhone net sales from Apple FY2025 Form 10-K product/service net sales table [L:737-750; L:1236-1248].</t>
      </text>
    </comment>
    <comment ref="E27" authorId="0" shapeId="0">
      <text>
        <t>FY2025 iPhone net sales from Apple FY2025 Form 10-K product/service net sales table [L:737-750; L:1236-1248] and Q4 FY2025 press release category table [L:111-117].</t>
      </text>
    </comment>
    <comment ref="C28" authorId="0" shapeId="0">
      <text>
        <t>FY2023 Mac net sales from Apple FY2025 Form 10-K product/service net sales table [L:737-750; L:1236-1248].</t>
      </text>
    </comment>
    <comment ref="E28" authorId="0" shapeId="0">
      <text>
        <t>FY2025 Mac net sales from Apple FY2025 Form 10-K product/service net sales table [L:737-750; L:1236-1248].</t>
      </text>
    </comment>
    <comment ref="C29" authorId="0" shapeId="0">
      <text>
        <t>FY2023 iPad net sales from Apple FY2025 Form 10-K product/service net sales table [L:737-750; L:1236-1248].</t>
      </text>
    </comment>
    <comment ref="E29" authorId="0" shapeId="0">
      <text>
        <t>FY2025 iPad net sales from Apple FY2025 Form 10-K product/service net sales table [L:737-750; L:1236-1248].</t>
      </text>
    </comment>
    <comment ref="C30" authorId="0" shapeId="0">
      <text>
        <t>FY2023 Wearables, Home and Accessories net sales from Apple FY2025 Form 10-K product/service net sales table [L:737-750; L:1236-1248].</t>
      </text>
    </comment>
    <comment ref="E30" authorId="0" shapeId="0">
      <text>
        <t>FY2025 Wearables, Home and Accessories net sales from Apple FY2025 Form 10-K product/service net sales table [L:737-750; L:1236-1248].</t>
      </text>
    </comment>
    <comment ref="C32" authorId="0" shapeId="0">
      <text>
        <t>FY2023 Services net sales from Apple FY2025 Form 10-K statements/product tables [L:965-999; L:1236-1248].</t>
      </text>
    </comment>
    <comment ref="E32" authorId="0" shapeId="0">
      <text>
        <t>FY2025 Services net sales from Apple FY2025 Form 10-K [L:965-999] and Q4 FY2025 press release all-time record commentary [L:51-54].</t>
      </text>
    </comment>
    <comment ref="C35" authorId="0" shapeId="0">
      <text>
        <t>Products cost of sales from Apple FY2025 Form 10-K consolidated statements of operations [L:965-999]. Expenses are shown negative per banking-model convention.</t>
      </text>
    </comment>
    <comment ref="E35" authorId="0" shapeId="0">
      <text>
        <t>Products cost of sales from Apple FY2025 Form 10-K consolidated statements of operations [L:965-999].</t>
      </text>
    </comment>
    <comment ref="C36" authorId="0" shapeId="0">
      <text>
        <t>Services cost of sales from Apple FY2025 Form 10-K consolidated statements of operations [L:965-999]. Expenses are shown negative.</t>
      </text>
    </comment>
    <comment ref="E36" authorId="0" shapeId="0">
      <text>
        <t>Services cost of sales from Apple FY2025 Form 10-K consolidated statements of operations [L:965-999].</t>
      </text>
    </comment>
    <comment ref="F39" authorId="0" shapeId="0">
      <text>
        <t>Held near FY2025 ratio to cost of sales.</t>
      </text>
    </comment>
    <comment ref="F42" authorId="0" shapeId="0">
      <text>
        <t>Held around FY2025 level.</t>
      </text>
    </comment>
    <comment ref="C44" authorId="0" shapeId="0">
      <text>
        <t>R&amp;D expense from Apple FY2025 Form 10-K consolidated statements of operations [L:965-999]. Expense shown negative.</t>
      </text>
    </comment>
    <comment ref="E44" authorId="0" shapeId="0">
      <text>
        <t>FY2025 R&amp;D expense from Apple FY2025 Form 10-K [L:965-999].</t>
      </text>
    </comment>
    <comment ref="C45" authorId="0" shapeId="0">
      <text>
        <t>SG&amp;A expense from Apple FY2025 Form 10-K consolidated statements of operations [L:965-999]. Expense shown negative.</t>
      </text>
    </comment>
    <comment ref="E45" authorId="0" shapeId="0">
      <text>
        <t>FY2025 SG&amp;A expense from Apple FY2025 Form 10-K [L:965-999].</t>
      </text>
    </comment>
    <comment ref="F48" authorId="0" shapeId="0">
      <text>
        <t>Held near FY2025 level, then modestly fades as revenue scales.</t>
      </text>
    </comment>
    <comment ref="C49" authorId="0" shapeId="0">
      <text>
        <t>Other income/(expense), net from Apple FY2025 Form 10-K consolidated statements of operations [L:965-999].</t>
      </text>
    </comment>
    <comment ref="E49" authorId="0" shapeId="0">
      <text>
        <t>Other income/(expense), net from Apple FY2025 Form 10-K [L:965-999].</t>
      </text>
    </comment>
    <comment ref="F49" authorId="0" shapeId="0">
      <text>
        <t>Assume modest net expense on cash/debt portfolio; not a core driver.</t>
      </text>
    </comment>
    <comment ref="F50" authorId="0" shapeId="0">
      <text>
        <t>Normalize below FY2024/FY2025 level.</t>
      </text>
    </comment>
    <comment ref="F52" authorId="0" shapeId="0">
      <text>
        <t>Held near FY2025 percentage of Services revenue.</t>
      </text>
    </comment>
    <comment ref="C53" authorId="0" shapeId="0">
      <text>
        <t>Provision for income taxes from Apple FY2025 Form 10-K consolidated statements of operations [L:965-999]; expense shown negative.</t>
      </text>
    </comment>
    <comment ref="E53" authorId="0" shapeId="0">
      <text>
        <t>Provision for income taxes from Apple FY2025 Form 10-K [L:965-999].</t>
      </text>
    </comment>
    <comment ref="F55" authorId="0" shapeId="0">
      <text>
        <t>Assume non-current liabilities fade as a percentage of revenue.</t>
      </text>
    </comment>
    <comment ref="C56" authorId="0" shapeId="0">
      <text>
        <t>Weighted-average diluted shares from Apple FY2025 Form 10-K EPS table; reported in thousands, shown here as millions [L:965-999; L:1254-1269].</t>
      </text>
    </comment>
    <comment ref="E56" authorId="0" shapeId="0">
      <text>
        <t>FY2025 weighted-average diluted shares from Apple FY2025 Form 10-K [L:965-999; L:1254-1269].</t>
      </text>
    </comment>
    <comment ref="C61" authorId="0" shapeId="0">
      <text>
        <t>FY2023 cash and cash equivalents from Apple FY2024 Form 10-K balance sheet [L:1162-1162].</t>
      </text>
    </comment>
    <comment ref="D61" authorId="0" shapeId="0">
      <text>
        <t>FY2024 cash and cash equivalents from Apple FY2025 Form 10-K balance sheet [L:1030-1074].</t>
      </text>
    </comment>
    <comment ref="E61" authorId="0" shapeId="0">
      <text>
        <t>FY2025 cash and cash equivalents from Apple FY2025 Form 10-K balance sheet [L:1030-1074] and Q4 FY2025 press release [L:123-163].</t>
      </text>
    </comment>
    <comment ref="C62" authorId="0" shapeId="0">
      <text>
        <t>FY2023 current marketable securities from Apple FY2024 Form 10-K balance sheet [L:1163-1163].</t>
      </text>
    </comment>
    <comment ref="E62" authorId="0" shapeId="0">
      <text>
        <t>FY2025 current marketable securities from Apple FY2025 Form 10-K balance sheet [L:1030-1074].</t>
      </text>
    </comment>
    <comment ref="C63" authorId="0" shapeId="0">
      <text>
        <t>FY2023 accounts receivable from Apple FY2024 Form 10-K balance sheet [L:1164-1164].</t>
      </text>
    </comment>
    <comment ref="E63" authorId="0" shapeId="0">
      <text>
        <t>FY2025 accounts receivable from Apple FY2025 Form 10-K balance sheet [L:1030-1074].</t>
      </text>
    </comment>
    <comment ref="C64" authorId="0" shapeId="0">
      <text>
        <t>FY2023 vendor non-trade receivables from Apple FY2024 Form 10-K balance sheet [L:1165-1165].</t>
      </text>
    </comment>
    <comment ref="E64" authorId="0" shapeId="0">
      <text>
        <t>FY2025 vendor non-trade receivables from Apple FY2025 Form 10-K balance sheet [L:1030-1074].</t>
      </text>
    </comment>
    <comment ref="C65" authorId="0" shapeId="0">
      <text>
        <t>FY2023 inventories from Apple FY2024 Form 10-K balance sheet [L:1166-1166].</t>
      </text>
    </comment>
    <comment ref="E65" authorId="0" shapeId="0">
      <text>
        <t>FY2025 inventories from Apple FY2025 Form 10-K balance sheet [L:1030-1074].</t>
      </text>
    </comment>
    <comment ref="C66" authorId="0" shapeId="0">
      <text>
        <t>FY2023 other current assets from Apple FY2024 Form 10-K balance sheet [L:1167-1167].</t>
      </text>
    </comment>
    <comment ref="E66" authorId="0" shapeId="0">
      <text>
        <t>FY2025 other current assets from Apple FY2025 Form 10-K balance sheet [L:1030-1074].</t>
      </text>
    </comment>
    <comment ref="C68" authorId="0" shapeId="0">
      <text>
        <t>FY2023 non-current marketable securities from Apple FY2024 Form 10-K balance sheet [L:1170-1170].</t>
      </text>
    </comment>
    <comment ref="E68" authorId="0" shapeId="0">
      <text>
        <t>FY2025 non-current marketable securities from Apple FY2025 Form 10-K balance sheet [L:1030-1074].</t>
      </text>
    </comment>
    <comment ref="C69" authorId="0" shapeId="0">
      <text>
        <t>FY2023 PP&amp;E from Apple FY2024 Form 10-K balance sheet [L:1171-1171].</t>
      </text>
    </comment>
    <comment ref="E69" authorId="0" shapeId="0">
      <text>
        <t>FY2025 PP&amp;E from Apple FY2025 Form 10-K balance sheet [L:1030-1074].</t>
      </text>
    </comment>
    <comment ref="C70" authorId="0" shapeId="0">
      <text>
        <t>FY2023 other non-current assets from Apple FY2024 Form 10-K balance sheet [L:1172-1172].</t>
      </text>
    </comment>
    <comment ref="E70" authorId="0" shapeId="0">
      <text>
        <t>FY2025 other non-current assets from Apple FY2025 Form 10-K balance sheet [L:1030-1074].</t>
      </text>
    </comment>
    <comment ref="C73" authorId="0" shapeId="0">
      <text>
        <t>FY2023 accounts payable from Apple FY2024 Form 10-K balance sheet [L:1177-1177].</t>
      </text>
    </comment>
    <comment ref="E73" authorId="0" shapeId="0">
      <text>
        <t>FY2025 accounts payable from Apple FY2025 Form 10-K balance sheet [L:1030-1074].</t>
      </text>
    </comment>
    <comment ref="C74" authorId="0" shapeId="0">
      <text>
        <t>FY2023 other current liabilities from Apple FY2024 Form 10-K balance sheet [L:1178-1178].</t>
      </text>
    </comment>
    <comment ref="E74" authorId="0" shapeId="0">
      <text>
        <t>FY2025 other current liabilities from Apple FY2025 Form 10-K balance sheet [L:1030-1074].</t>
      </text>
    </comment>
    <comment ref="C75" authorId="0" shapeId="0">
      <text>
        <t>FY2023 deferred revenue from Apple FY2024 Form 10-K balance sheet [L:1179-1179].</t>
      </text>
    </comment>
    <comment ref="E75" authorId="0" shapeId="0">
      <text>
        <t>FY2025 deferred revenue from Apple FY2025 Form 10-K balance sheet [L:1030-1074].</t>
      </text>
    </comment>
    <comment ref="C76" authorId="0" shapeId="0">
      <text>
        <t>FY2023 commercial paper from Apple FY2024 Form 10-K balance sheet [L:1180-1180].</t>
      </text>
    </comment>
    <comment ref="E76" authorId="0" shapeId="0">
      <text>
        <t>FY2025 commercial paper from Apple FY2025 Form 10-K balance sheet [L:1030-1074].</t>
      </text>
    </comment>
    <comment ref="F76" authorId="0" shapeId="0">
      <text>
        <t>Assume commercial paper remains broadly stable around FY2025 level.</t>
      </text>
    </comment>
    <comment ref="C77" authorId="0" shapeId="0">
      <text>
        <t>FY2023 current term debt from Apple FY2024 Form 10-K balance sheet [L:1181-1181].</t>
      </text>
    </comment>
    <comment ref="E77" authorId="0" shapeId="0">
      <text>
        <t>FY2025 current term debt from Apple FY2025 Form 10-K balance sheet [L:1030-1074].</t>
      </text>
    </comment>
    <comment ref="F77" authorId="0" shapeId="0">
      <text>
        <t>Assume scheduled maturities broadly consistent with recent current-term-debt balance.</t>
      </text>
    </comment>
    <comment ref="C79" authorId="0" shapeId="0">
      <text>
        <t>FY2023 non-current term debt from Apple FY2024 Form 10-K balance sheet [L:1184-1184].</t>
      </text>
    </comment>
    <comment ref="E79" authorId="0" shapeId="0">
      <text>
        <t>FY2025 non-current term debt from Apple FY2025 Form 10-K balance sheet [L:1030-1074].</t>
      </text>
    </comment>
    <comment ref="F79" authorId="0" shapeId="0">
      <text>
        <t>Assume gradual term-debt rundown; Apple remains net cash/securities positive.</t>
      </text>
    </comment>
    <comment ref="C80" authorId="0" shapeId="0">
      <text>
        <t>FY2023 other non-current liabilities from Apple FY2024 Form 10-K balance sheet [L:1185-1185].</t>
      </text>
    </comment>
    <comment ref="E80" authorId="0" shapeId="0">
      <text>
        <t>FY2025 other non-current liabilities from Apple FY2025 Form 10-K balance sheet [L:1030-1074].</t>
      </text>
    </comment>
    <comment ref="C83" authorId="0" shapeId="0">
      <text>
        <t>FY2023 common stock and APIC from Apple FY2024 Form 10-K balance sheet [L:1190-1190].</t>
      </text>
    </comment>
    <comment ref="E83" authorId="0" shapeId="0">
      <text>
        <t>FY2025 common stock and APIC from Apple FY2025 Form 10-K balance sheet [L:1030-1074].</t>
      </text>
    </comment>
    <comment ref="C84" authorId="0" shapeId="0">
      <text>
        <t>FY2023 accumulated deficit from Apple FY2024 Form 10-K balance sheet [L:1191-1191].</t>
      </text>
    </comment>
    <comment ref="E84" authorId="0" shapeId="0">
      <text>
        <t>FY2025 accumulated deficit from Apple FY2025 Form 10-K balance sheet [L:1030-1074].</t>
      </text>
    </comment>
    <comment ref="C85" authorId="0" shapeId="0">
      <text>
        <t>FY2023 accumulated other comprehensive loss from Apple FY2024 Form 10-K balance sheet [L:1192-1192].</t>
      </text>
    </comment>
    <comment ref="E85" authorId="0" shapeId="0">
      <text>
        <t>FY2025 accumulated other comprehensive loss from Apple FY2025 Form 10-K balance sheet [L:1030-1074].</t>
      </text>
    </comment>
    <comment ref="F89" authorId="0" shapeId="0">
      <text>
        <t>Held near recent taxes paid for net share settlement of equity awards, scaled to revenue.</t>
      </text>
    </comment>
    <comment ref="C91" authorId="0" shapeId="0">
      <text>
        <t>Beginning cash from Apple FY2025 Form 10-K cash flow statement [L:1112-1156].</t>
      </text>
    </comment>
    <comment ref="C93" authorId="0" shapeId="0">
      <text>
        <t>D&amp;A from Apple FY2025 Form 10-K cash flow statement [L:1112-1156].</t>
      </text>
    </comment>
    <comment ref="E93" authorId="0" shapeId="0">
      <text>
        <t>FY2025 D&amp;A from Apple FY2025 Form 10-K cash flow statement [L:1112-1156].</t>
      </text>
    </comment>
    <comment ref="C94" authorId="0" shapeId="0">
      <text>
        <t>Share-based compensation expense from Apple FY2025 Form 10-K cash flow statement [L:1112-1156].</t>
      </text>
    </comment>
    <comment ref="E94" authorId="0" shapeId="0">
      <text>
        <t>FY2025 share-based compensation from Apple FY2025 Form 10-K cash flow statement [L:1112-1156].</t>
      </text>
    </comment>
    <comment ref="C95" authorId="0" shapeId="0">
      <text>
        <t>Other operating cash flow adjustment from Apple FY2025 Form 10-K cash flow statement [L:1112-1156].</t>
      </text>
    </comment>
    <comment ref="E95" authorId="0" shapeId="0">
      <text>
        <t>FY2025 other operating cash flow adjustment from Apple FY2025 Form 10-K cash flow statement [L:1112-1156].</t>
      </text>
    </comment>
    <comment ref="F95" authorId="0" shapeId="0">
      <text>
        <t>Assume no material recurring other non-cash operating item.</t>
      </text>
    </comment>
    <comment ref="C96" authorId="0" shapeId="0">
      <text>
        <t>Cash flow impact of accounts receivable from Apple FY2025 Form 10-K cash flow statement [L:1112-1156].</t>
      </text>
    </comment>
    <comment ref="E96" authorId="0" shapeId="0">
      <text>
        <t>FY2025 cash flow impact of accounts receivable from Apple FY2025 Form 10-K cash flow statement [L:1112-1156].</t>
      </text>
    </comment>
    <comment ref="C97" authorId="0" shapeId="0">
      <text>
        <t>Cash flow impact of vendor non-trade receivables from Apple FY2025 Form 10-K cash flow statement [L:1112-1156].</t>
      </text>
    </comment>
    <comment ref="E97" authorId="0" shapeId="0">
      <text>
        <t>FY2025 cash flow impact of vendor non-trade receivables from Apple FY2025 Form 10-K cash flow statement [L:1112-1156].</t>
      </text>
    </comment>
    <comment ref="C98" authorId="0" shapeId="0">
      <text>
        <t>Cash flow impact of inventories from Apple FY2025 Form 10-K cash flow statement [L:1112-1156].</t>
      </text>
    </comment>
    <comment ref="E98" authorId="0" shapeId="0">
      <text>
        <t>FY2025 cash flow impact of inventories from Apple FY2025 Form 10-K cash flow statement [L:1112-1156].</t>
      </text>
    </comment>
    <comment ref="C99" authorId="0" shapeId="0">
      <text>
        <t>Cash flow impact of other current and non-current assets from Apple FY2025 Form 10-K cash flow statement [L:1112-1156].</t>
      </text>
    </comment>
    <comment ref="E99" authorId="0" shapeId="0">
      <text>
        <t>FY2025 cash flow impact of other current and non-current assets from Apple FY2025 Form 10-K cash flow statement [L:1112-1156].</t>
      </text>
    </comment>
    <comment ref="C100" authorId="0" shapeId="0">
      <text>
        <t>Cash flow impact of accounts payable from Apple FY2025 Form 10-K cash flow statement [L:1112-1156].</t>
      </text>
    </comment>
    <comment ref="E100" authorId="0" shapeId="0">
      <text>
        <t>FY2025 cash flow impact of accounts payable from Apple FY2025 Form 10-K cash flow statement [L:1112-1156].</t>
      </text>
    </comment>
    <comment ref="C102" authorId="0" shapeId="0">
      <text>
        <t>Cash flow impact of other current and non-current liabilities from Apple FY2025 Form 10-K cash flow statement [L:1112-1156].</t>
      </text>
    </comment>
    <comment ref="E102" authorId="0" shapeId="0">
      <text>
        <t>FY2025 cash flow impact of other current and non-current liabilities from Apple FY2025 Form 10-K cash flow statement [L:1112-1156].</t>
      </text>
    </comment>
    <comment ref="C103" authorId="0" shapeId="0">
      <text>
        <t>Cash generated by operating activities from Apple FY2025 Form 10-K cash flow statement [L:1112-1156].</t>
      </text>
    </comment>
    <comment ref="E103" authorId="0" shapeId="0">
      <text>
        <t>FY2025 cash generated by operating activities from Apple FY2025 Form 10-K cash flow statement [L:1112-1156] and Q4 FY2025 press release [L:169-210].</t>
      </text>
    </comment>
    <comment ref="C104" authorId="0" shapeId="0">
      <text>
        <t>Purchases, maturities and sales of marketable securities netted from Apple FY2025 Form 10-K cash flow statement [L:1112-1156].</t>
      </text>
    </comment>
    <comment ref="E104" authorId="0" shapeId="0">
      <text>
        <t>FY2025 net marketable securities cash flow = maturities + sales - purchases, from Apple FY2025 Form 10-K [L:1112-1156].</t>
      </text>
    </comment>
    <comment ref="C105" authorId="0" shapeId="0">
      <text>
        <t>Payments for acquisition of property, plant and equipment from Apple FY2025 Form 10-K cash flow statement [L:1112-1156].</t>
      </text>
    </comment>
    <comment ref="E105" authorId="0" shapeId="0">
      <text>
        <t>FY2025 capex from Apple FY2025 Form 10-K cash flow statement [L:1112-1156] and Q4 FY2025 press release [L:169-210].</t>
      </text>
    </comment>
    <comment ref="C106" authorId="0" shapeId="0">
      <text>
        <t>Other investing cash flow from Apple FY2025 Form 10-K cash flow statement [L:1112-1156].</t>
      </text>
    </comment>
    <comment ref="E106" authorId="0" shapeId="0">
      <text>
        <t>FY2025 other investing cash flow from Apple FY2025 Form 10-K cash flow statement [L:1112-1156].</t>
      </text>
    </comment>
    <comment ref="F106" authorId="0" shapeId="0">
      <text>
        <t>No recurring other investing cash flow assumed.</t>
      </text>
    </comment>
    <comment ref="C108" authorId="0" shapeId="0">
      <text>
        <t>Payments for taxes related to net share settlement of equity awards from Apple FY2025 Form 10-K cash flow statement [L:1112-1156].</t>
      </text>
    </comment>
    <comment ref="E108" authorId="0" shapeId="0">
      <text>
        <t>FY2025 equity award tax payments from Apple FY2025 Form 10-K cash flow statement [L:1112-1156].</t>
      </text>
    </comment>
    <comment ref="C109" authorId="0" shapeId="0">
      <text>
        <t>Payments for dividends and dividend equivalents from Apple FY2025 Form 10-K cash flow statement [L:1112-1156].</t>
      </text>
    </comment>
    <comment ref="E109" authorId="0" shapeId="0">
      <text>
        <t>FY2025 dividends and dividend equivalents paid from Apple FY2025 Form 10-K cash flow statement [L:1112-1156].</t>
      </text>
    </comment>
    <comment ref="C110" authorId="0" shapeId="0">
      <text>
        <t>Repurchases of common stock from Apple FY2025 Form 10-K cash flow statement [L:1112-1156].</t>
      </text>
    </comment>
    <comment ref="E110" authorId="0" shapeId="0">
      <text>
        <t>FY2025 common stock repurchases from Apple FY2025 Form 10-K cash flow statement [L:1112-1156] and Q4 FY2025 press release [L:169-210].</t>
      </text>
    </comment>
    <comment ref="F110" authorId="0" shapeId="0">
      <text>
        <t>Assume Apple sustains approximately FY2025 buyback cadence, consistent with very large capital return history.</t>
      </text>
    </comment>
    <comment ref="H110" authorId="0" shapeId="0">
      <text>
        <t>Taper buybacks modestly as the model prioritizes flexibility for investment and balance-sheet capacity.</t>
      </text>
    </comment>
    <comment ref="C111" authorId="0" shapeId="0">
      <text>
        <t>Net of term debt issuance, term debt repayments and commercial paper change from Apple FY2025 Form 10-K cash flow statement [L:1112-1156].</t>
      </text>
    </comment>
    <comment ref="E111" authorId="0" shapeId="0">
      <text>
        <t>FY2025 net debt issuance/(repayment) from Apple FY2025 Form 10-K cash flow statement [L:1112-1156].</t>
      </text>
    </comment>
    <comment ref="C112" authorId="0" shapeId="0">
      <text>
        <t>Other financing cash flow from Apple FY2025 Form 10-K cash flow statement [L:1112-1156].</t>
      </text>
    </comment>
    <comment ref="E112" authorId="0" shapeId="0">
      <text>
        <t>FY2025 other financing cash flow from Apple FY2025 Form 10-K cash flow statement [L:1112-1156].</t>
      </text>
    </comment>
    <comment ref="F112" authorId="0" shapeId="0">
      <text>
        <t>No recurring other financing cash flow assumed.</t>
      </text>
    </comment>
  </commentList>
</comments>
</file>

<file path=xl/comments/comment2.xml><?xml version="1.0" encoding="utf-8"?>
<comments xmlns="http://schemas.openxmlformats.org/spreadsheetml/2006/main">
  <authors>
    <author>Primer</author>
  </authors>
  <commentList>
    <comment ref="E4" authorId="0" shapeId="0">
      <text>
        <t>Consensus estimate-series value as of 2026-05-24; used as a check against actual FY2025 revenue. Source_ref sr_QUBTt8pmWCkl.</t>
      </text>
    </comment>
    <comment ref="F4" authorId="0" shapeId="0">
      <text>
        <t>Consensus average revenue estimate as of 2026-05-24; 37 analysts; source_ref sr_QUBTt8pmWCkl.</t>
      </text>
    </comment>
    <comment ref="G4" authorId="0" shapeId="0">
      <text>
        <t>Consensus average revenue estimate as of 2026-05-24; 42 analysts; source_ref sr_QUBTt8pmWCkl.</t>
      </text>
    </comment>
    <comment ref="E5" authorId="0" shapeId="0">
      <text>
        <t>Consensus estimate-series value as of 2026-05-24; actual diluted EPS was $7.46. Source_ref sr_QUBTt8pmWCkl.</t>
      </text>
    </comment>
    <comment ref="F5" authorId="0" shapeId="0">
      <text>
        <t>Consensus average EPS estimate as of 2026-05-24; 42 analysts; source_ref sr_QUBTt8pmWCkl.</t>
      </text>
    </comment>
    <comment ref="G5" authorId="0" shapeId="0">
      <text>
        <t>Consensus average EPS estimate as of 2026-05-24; 43 analysts; source_ref sr_QUBTt8pmWCkl.</t>
      </text>
    </comment>
    <comment ref="F9" authorId="0" shapeId="0">
      <text>
        <t>iPhone is the residual revenue line in FY2026 to reconcile product category build to consensus total revenue; this implies a strong upgrade/product-cycle year after the iPhone 17 launch and Q4 FY2025 iPhone record.</t>
      </text>
    </comment>
    <comment ref="G9" authorId="0" shapeId="0">
      <text>
        <t>FY2027 iPhone is residual to consensus total revenue after explicit Services and non-iPhone hardware growth assumptions.</t>
      </text>
    </comment>
    <comment ref="H9" authorId="0" shapeId="0">
      <text>
        <t>Extrapolated beyond available consensus: assume iPhone growth normalizes after FY2026-FY2027 cycle strength.</t>
      </text>
    </comment>
    <comment ref="I9" authorId="0" shapeId="0">
      <text>
        <t>Extrapolated beyond available consensus: mature iPhone franchise grows modestly with mix/ASP rather than major unit acceleration.</t>
      </text>
    </comment>
    <comment ref="F10" authorId="0" shapeId="0">
      <text>
        <t>Assume moderate growth from MacBook Pro / iPad Pro M5 cycle commentary in Q4 FY2025 press release; below FY2025's 12% rebound.</t>
      </text>
    </comment>
    <comment ref="F11" authorId="0" shapeId="0">
      <text>
        <t>Assume low-single-digit iPad growth following FY2025 recovery; category remains more replacement-cycle driven than structural.</t>
      </text>
    </comment>
    <comment ref="F12" authorId="0" shapeId="0">
      <text>
        <t>Assume stabilization after FY2024-FY2025 declines, helped by AirPods Pro 3 and Apple Watch refresh referenced in the Q4 FY2025 press release.</t>
      </text>
    </comment>
    <comment ref="F13" authorId="0" shapeId="0">
      <text>
        <t>Services set an all-time record in Q4 FY2025 and grew 13.5% in FY2025; assume low-teens continuation but slight moderation.</t>
      </text>
    </comment>
    <comment ref="G13" authorId="0" shapeId="0">
      <text>
        <t>Services remains the key structural grower; modest moderation reflects larger base and regulatory risk.</t>
      </text>
    </comment>
    <comment ref="C15" authorId="0" shapeId="0">
      <text>
        <t>FY2023 iPhone net sales from Apple FY2025 Form 10-K product/service net sales table [L:737-750; L:1236-1248].</t>
      </text>
    </comment>
    <comment ref="E15" authorId="0" shapeId="0">
      <text>
        <t>FY2025 iPhone net sales from Apple FY2025 Form 10-K product/service net sales table [L:737-750; L:1236-1248] and Q4 FY2025 press release category table [L:111-117].</t>
      </text>
    </comment>
    <comment ref="C16" authorId="0" shapeId="0">
      <text>
        <t>FY2023 Mac net sales from Apple FY2025 Form 10-K product/service net sales table [L:737-750; L:1236-1248].</t>
      </text>
    </comment>
    <comment ref="E16" authorId="0" shapeId="0">
      <text>
        <t>FY2025 Mac net sales from Apple FY2025 Form 10-K product/service net sales table [L:737-750; L:1236-1248].</t>
      </text>
    </comment>
    <comment ref="C17" authorId="0" shapeId="0">
      <text>
        <t>FY2023 iPad net sales from Apple FY2025 Form 10-K product/service net sales table [L:737-750; L:1236-1248].</t>
      </text>
    </comment>
    <comment ref="E17" authorId="0" shapeId="0">
      <text>
        <t>FY2025 iPad net sales from Apple FY2025 Form 10-K product/service net sales table [L:737-750; L:1236-1248].</t>
      </text>
    </comment>
    <comment ref="C18" authorId="0" shapeId="0">
      <text>
        <t>FY2023 Wearables, Home and Accessories net sales from Apple FY2025 Form 10-K product/service net sales table [L:737-750; L:1236-1248].</t>
      </text>
    </comment>
    <comment ref="E18" authorId="0" shapeId="0">
      <text>
        <t>FY2025 Wearables, Home and Accessories net sales from Apple FY2025 Form 10-K product/service net sales table [L:737-750; L:1236-1248].</t>
      </text>
    </comment>
    <comment ref="C20" authorId="0" shapeId="0">
      <text>
        <t>FY2023 Services net sales from Apple FY2025 Form 10-K statements/product tables [L:965-999; L:1236-1248].</t>
      </text>
    </comment>
    <comment ref="E20" authorId="0" shapeId="0">
      <text>
        <t>FY2025 Services net sales from Apple FY2025 Form 10-K [L:965-999] and Q4 FY2025 press release all-time record commentary [L:51-54].</t>
      </text>
    </comment>
    <comment ref="E24" authorId="0" shapeId="0">
      <text>
        <t>FY2025 products gross margin was 36.8% in Apple FY2025 Form 10-K gross margin detail [L:774-788].</t>
      </text>
    </comment>
    <comment ref="F24" authorId="0" shapeId="0">
      <text>
        <t>Assume product margin dips from 36.8% FY2025 due tariffs/mix normalization, partly offset by premium iPhone mix.</t>
      </text>
    </comment>
    <comment ref="G24" authorId="0" shapeId="0">
      <text>
        <t>Assume modest recovery as mix and procurement offset tariff/frictional cost pressure.</t>
      </text>
    </comment>
    <comment ref="E25" authorId="0" shapeId="0">
      <text>
        <t>FY2025 Services gross margin was 75.4% in Apple FY2025 Form 10-K gross margin detail [L:774-788].</t>
      </text>
    </comment>
    <comment ref="F25" authorId="0" shapeId="0">
      <text>
        <t>Assume Services margin holds near FY2025 level as scale offsets regulatory and mix risk.</t>
      </text>
    </comment>
    <comment ref="G25" authorId="0" shapeId="0">
      <text>
        <t>Slight expansion as Services mix and scale continue, below a straight-line extrapolation to avoid over-crediting margin gains.</t>
      </text>
    </comment>
    <comment ref="C26" authorId="0" shapeId="0">
      <text>
        <t>Products cost of sales from Apple FY2025 Form 10-K consolidated statements of operations [L:965-999]. Expenses are shown negative per banking-model convention.</t>
      </text>
    </comment>
    <comment ref="E26" authorId="0" shapeId="0">
      <text>
        <t>Products cost of sales from Apple FY2025 Form 10-K consolidated statements of operations [L:965-999].</t>
      </text>
    </comment>
    <comment ref="C27" authorId="0" shapeId="0">
      <text>
        <t>Services cost of sales from Apple FY2025 Form 10-K consolidated statements of operations [L:965-999]. Expenses are shown negative.</t>
      </text>
    </comment>
    <comment ref="E27" authorId="0" shapeId="0">
      <text>
        <t>Services cost of sales from Apple FY2025 Form 10-K consolidated statements of operations [L:965-999].</t>
      </text>
    </comment>
  </commentList>
</comments>
</file>

<file path=xl/comments/comment3.xml><?xml version="1.0" encoding="utf-8"?>
<comments xmlns="http://schemas.openxmlformats.org/spreadsheetml/2006/main">
  <authors>
    <author>Primer</author>
  </authors>
  <commentList>
    <comment ref="F4" authorId="0" shapeId="0">
      <text>
        <t>Forecast AR days normalize modestly below FY2025 but above FY2023-FY2024, reflecting stronger revenue base and launch-cycle seasonality.</t>
      </text>
    </comment>
    <comment ref="F5" authorId="0" shapeId="0">
      <text>
        <t>Held near FY2025 ratio to cost of sales.</t>
      </text>
    </comment>
    <comment ref="F6" authorId="0" shapeId="0">
      <text>
        <t>Assume inventory days near FY2025 level; Apple remains structurally low-inventory.</t>
      </text>
    </comment>
    <comment ref="F7" authorId="0" shapeId="0">
      <text>
        <t>Held around FY2025 level.</t>
      </text>
    </comment>
    <comment ref="F8" authorId="0" shapeId="0">
      <text>
        <t>Assume AP days near FY2025 level and below FY2024 peak.</t>
      </text>
    </comment>
    <comment ref="F9" authorId="0" shapeId="0">
      <text>
        <t>Normalize below FY2024/FY2025 level.</t>
      </text>
    </comment>
    <comment ref="F10" authorId="0" shapeId="0">
      <text>
        <t>Held near FY2025 percentage of Services revenue.</t>
      </text>
    </comment>
    <comment ref="F11" authorId="0" shapeId="0">
      <text>
        <t>Assume non-current liabilities fade as a percentage of revenue.</t>
      </text>
    </comment>
    <comment ref="C13" authorId="0" shapeId="0">
      <text>
        <t>FY2023 accounts receivable from Apple FY2024 Form 10-K balance sheet [L:1164-1164].</t>
      </text>
    </comment>
    <comment ref="E13" authorId="0" shapeId="0">
      <text>
        <t>FY2025 accounts receivable from Apple FY2025 Form 10-K balance sheet [L:1030-1074].</t>
      </text>
    </comment>
    <comment ref="C14" authorId="0" shapeId="0">
      <text>
        <t>FY2023 vendor non-trade receivables from Apple FY2024 Form 10-K balance sheet [L:1165-1165].</t>
      </text>
    </comment>
    <comment ref="E14" authorId="0" shapeId="0">
      <text>
        <t>FY2025 vendor non-trade receivables from Apple FY2025 Form 10-K balance sheet [L:1030-1074].</t>
      </text>
    </comment>
    <comment ref="C15" authorId="0" shapeId="0">
      <text>
        <t>FY2023 inventories from Apple FY2024 Form 10-K balance sheet [L:1166-1166].</t>
      </text>
    </comment>
    <comment ref="E15" authorId="0" shapeId="0">
      <text>
        <t>FY2025 inventories from Apple FY2025 Form 10-K balance sheet [L:1030-1074].</t>
      </text>
    </comment>
    <comment ref="C16" authorId="0" shapeId="0">
      <text>
        <t>FY2023 other current assets from Apple FY2024 Form 10-K balance sheet [L:1167-1167].</t>
      </text>
    </comment>
    <comment ref="E16" authorId="0" shapeId="0">
      <text>
        <t>FY2025 other current assets from Apple FY2025 Form 10-K balance sheet [L:1030-1074].</t>
      </text>
    </comment>
    <comment ref="C17" authorId="0" shapeId="0">
      <text>
        <t>FY2023 accounts payable from Apple FY2024 Form 10-K balance sheet [L:1177-1177].</t>
      </text>
    </comment>
    <comment ref="E17" authorId="0" shapeId="0">
      <text>
        <t>FY2025 accounts payable from Apple FY2025 Form 10-K balance sheet [L:1030-1074].</t>
      </text>
    </comment>
    <comment ref="C18" authorId="0" shapeId="0">
      <text>
        <t>FY2023 other current liabilities from Apple FY2024 Form 10-K balance sheet [L:1178-1178].</t>
      </text>
    </comment>
    <comment ref="E18" authorId="0" shapeId="0">
      <text>
        <t>FY2025 other current liabilities from Apple FY2025 Form 10-K balance sheet [L:1030-1074].</t>
      </text>
    </comment>
    <comment ref="C19" authorId="0" shapeId="0">
      <text>
        <t>FY2023 deferred revenue from Apple FY2024 Form 10-K balance sheet [L:1179-1179].</t>
      </text>
    </comment>
    <comment ref="E19" authorId="0" shapeId="0">
      <text>
        <t>FY2025 deferred revenue from Apple FY2025 Form 10-K balance sheet [L:1030-1074].</t>
      </text>
    </comment>
    <comment ref="C20" authorId="0" shapeId="0">
      <text>
        <t>FY2023 other non-current liabilities from Apple FY2024 Form 10-K balance sheet [L:1185-1185].</t>
      </text>
    </comment>
    <comment ref="E20" authorId="0" shapeId="0">
      <text>
        <t>FY2025 other non-current liabilities from Apple FY2025 Form 10-K balance sheet [L:1030-1074].</t>
      </text>
    </comment>
    <comment ref="C22" authorId="0" shapeId="0">
      <text>
        <t>Cash flow impact of accounts receivable from Apple FY2025 Form 10-K cash flow statement [L:1112-1156].</t>
      </text>
    </comment>
    <comment ref="E22" authorId="0" shapeId="0">
      <text>
        <t>FY2025 cash flow impact of accounts receivable from Apple FY2025 Form 10-K cash flow statement [L:1112-1156].</t>
      </text>
    </comment>
    <comment ref="C23" authorId="0" shapeId="0">
      <text>
        <t>Cash flow impact of vendor non-trade receivables from Apple FY2025 Form 10-K cash flow statement [L:1112-1156].</t>
      </text>
    </comment>
    <comment ref="E23" authorId="0" shapeId="0">
      <text>
        <t>FY2025 cash flow impact of vendor non-trade receivables from Apple FY2025 Form 10-K cash flow statement [L:1112-1156].</t>
      </text>
    </comment>
    <comment ref="C24" authorId="0" shapeId="0">
      <text>
        <t>Cash flow impact of inventories from Apple FY2025 Form 10-K cash flow statement [L:1112-1156].</t>
      </text>
    </comment>
    <comment ref="E24" authorId="0" shapeId="0">
      <text>
        <t>FY2025 cash flow impact of inventories from Apple FY2025 Form 10-K cash flow statement [L:1112-1156].</t>
      </text>
    </comment>
    <comment ref="C25" authorId="0" shapeId="0">
      <text>
        <t>Cash flow impact of other current and non-current assets from Apple FY2025 Form 10-K cash flow statement [L:1112-1156].</t>
      </text>
    </comment>
    <comment ref="E25" authorId="0" shapeId="0">
      <text>
        <t>FY2025 cash flow impact of other current and non-current assets from Apple FY2025 Form 10-K cash flow statement [L:1112-1156].</t>
      </text>
    </comment>
    <comment ref="C26" authorId="0" shapeId="0">
      <text>
        <t>Cash flow impact of accounts payable from Apple FY2025 Form 10-K cash flow statement [L:1112-1156].</t>
      </text>
    </comment>
    <comment ref="E26" authorId="0" shapeId="0">
      <text>
        <t>FY2025 cash flow impact of accounts payable from Apple FY2025 Form 10-K cash flow statement [L:1112-1156].</t>
      </text>
    </comment>
    <comment ref="C28" authorId="0" shapeId="0">
      <text>
        <t>Cash flow impact of other current and non-current liabilities from Apple FY2025 Form 10-K cash flow statement [L:1112-1156].</t>
      </text>
    </comment>
    <comment ref="E28" authorId="0" shapeId="0">
      <text>
        <t>FY2025 cash flow impact of other current and non-current liabilities from Apple FY2025 Form 10-K cash flow statement [L:1112-1156].</t>
      </text>
    </comment>
    <comment ref="C29" authorId="0" shapeId="0">
      <text>
        <t>Cash generated by operating activities from Apple FY2025 Form 10-K cash flow statement [L:1112-1156].</t>
      </text>
    </comment>
    <comment ref="E29" authorId="0" shapeId="0">
      <text>
        <t>FY2025 cash generated by operating activities from Apple FY2025 Form 10-K cash flow statement [L:1112-1156] and Q4 FY2025 press release [L:169-210].</t>
      </text>
    </comment>
  </commentList>
</comments>
</file>

<file path=xl/comments/comment4.xml><?xml version="1.0" encoding="utf-8"?>
<comments xmlns="http://schemas.openxmlformats.org/spreadsheetml/2006/main">
  <authors>
    <author>Primer</author>
  </authors>
  <commentList>
    <comment ref="F4" authorId="0" shapeId="0">
      <text>
        <t>FY2025 capex stepped up to $12.7bn; forecast keeps capex elevated for AI/infrastructure/product investments.</t>
      </text>
    </comment>
    <comment ref="F5" authorId="0" shapeId="0">
      <text>
        <t>Forecast D&amp;A broadly in line with recent depreciation intensity.</t>
      </text>
    </comment>
    <comment ref="F6" authorId="0" shapeId="0">
      <text>
        <t>Held near FY2025 level, then modestly fades as revenue scales.</t>
      </text>
    </comment>
    <comment ref="C7" authorId="0" shapeId="0">
      <text>
        <t>Payments for acquisition of property, plant and equipment from Apple FY2025 Form 10-K cash flow statement [L:1112-1156].</t>
      </text>
    </comment>
    <comment ref="E7" authorId="0" shapeId="0">
      <text>
        <t>FY2025 capex from Apple FY2025 Form 10-K cash flow statement [L:1112-1156] and Q4 FY2025 press release [L:169-210].</t>
      </text>
    </comment>
    <comment ref="C8" authorId="0" shapeId="0">
      <text>
        <t>D&amp;A from Apple FY2025 Form 10-K cash flow statement [L:1112-1156].</t>
      </text>
    </comment>
    <comment ref="E8" authorId="0" shapeId="0">
      <text>
        <t>FY2025 D&amp;A from Apple FY2025 Form 10-K cash flow statement [L:1112-1156].</t>
      </text>
    </comment>
    <comment ref="C9" authorId="0" shapeId="0">
      <text>
        <t>FY2023 PP&amp;E from Apple FY2024 Form 10-K balance sheet [L:1171-1171].</t>
      </text>
    </comment>
    <comment ref="E9" authorId="0" shapeId="0">
      <text>
        <t>FY2025 PP&amp;E from Apple FY2025 Form 10-K balance sheet [L:1030-1074].</t>
      </text>
    </comment>
    <comment ref="C10" authorId="0" shapeId="0">
      <text>
        <t>FY2023 other non-current assets from Apple FY2024 Form 10-K balance sheet [L:1172-1172].</t>
      </text>
    </comment>
    <comment ref="E10" authorId="0" shapeId="0">
      <text>
        <t>FY2025 other non-current assets from Apple FY2025 Form 10-K balance sheet [L:1030-1074].</t>
      </text>
    </comment>
  </commentList>
</comments>
</file>

<file path=xl/comments/comment5.xml><?xml version="1.0" encoding="utf-8"?>
<comments xmlns="http://schemas.openxmlformats.org/spreadsheetml/2006/main">
  <authors>
    <author>Primer</author>
  </authors>
  <commentList>
    <comment ref="C4" authorId="0" shapeId="0">
      <text>
        <t>FY2023 commercial paper from Apple FY2024 Form 10-K balance sheet [L:1180-1180].</t>
      </text>
    </comment>
    <comment ref="E4" authorId="0" shapeId="0">
      <text>
        <t>FY2025 commercial paper from Apple FY2025 Form 10-K balance sheet [L:1030-1074].</t>
      </text>
    </comment>
    <comment ref="F4" authorId="0" shapeId="0">
      <text>
        <t>Assume commercial paper remains broadly stable around FY2025 level.</t>
      </text>
    </comment>
    <comment ref="C5" authorId="0" shapeId="0">
      <text>
        <t>FY2023 current term debt from Apple FY2024 Form 10-K balance sheet [L:1181-1181].</t>
      </text>
    </comment>
    <comment ref="E5" authorId="0" shapeId="0">
      <text>
        <t>FY2025 current term debt from Apple FY2025 Form 10-K balance sheet [L:1030-1074].</t>
      </text>
    </comment>
    <comment ref="F5" authorId="0" shapeId="0">
      <text>
        <t>Assume scheduled maturities broadly consistent with recent current-term-debt balance.</t>
      </text>
    </comment>
    <comment ref="C6" authorId="0" shapeId="0">
      <text>
        <t>FY2023 non-current term debt from Apple FY2024 Form 10-K balance sheet [L:1184-1184].</t>
      </text>
    </comment>
    <comment ref="E6" authorId="0" shapeId="0">
      <text>
        <t>FY2025 non-current term debt from Apple FY2025 Form 10-K balance sheet [L:1030-1074].</t>
      </text>
    </comment>
    <comment ref="F6" authorId="0" shapeId="0">
      <text>
        <t>Assume gradual term-debt rundown; Apple remains net cash/securities positive.</t>
      </text>
    </comment>
    <comment ref="C7" authorId="0" shapeId="0">
      <text>
        <t>Net of term debt issuance, term debt repayments and commercial paper change from Apple FY2025 Form 10-K cash flow statement [L:1112-1156].</t>
      </text>
    </comment>
    <comment ref="E7" authorId="0" shapeId="0">
      <text>
        <t>FY2025 net debt issuance/(repayment) from Apple FY2025 Form 10-K cash flow statement [L:1112-1156].</t>
      </text>
    </comment>
    <comment ref="F9" authorId="0" shapeId="0">
      <text>
        <t>Held near FY2025 SBC intensity.</t>
      </text>
    </comment>
    <comment ref="C10" authorId="0" shapeId="0">
      <text>
        <t>Share-based compensation expense from Apple FY2025 Form 10-K cash flow statement [L:1112-1156].</t>
      </text>
    </comment>
    <comment ref="E10" authorId="0" shapeId="0">
      <text>
        <t>FY2025 share-based compensation from Apple FY2025 Form 10-K cash flow statement [L:1112-1156].</t>
      </text>
    </comment>
    <comment ref="F11" authorId="0" shapeId="0">
      <text>
        <t>Held near recent taxes paid for net share settlement of equity awards, scaled to revenue.</t>
      </text>
    </comment>
    <comment ref="C12" authorId="0" shapeId="0">
      <text>
        <t>Payments for taxes related to net share settlement of equity awards from Apple FY2025 Form 10-K cash flow statement [L:1112-1156].</t>
      </text>
    </comment>
    <comment ref="E12" authorId="0" shapeId="0">
      <text>
        <t>FY2025 equity award tax payments from Apple FY2025 Form 10-K cash flow statement [L:1112-1156].</t>
      </text>
    </comment>
    <comment ref="E13" authorId="0" shapeId="0">
      <text>
        <t>FY2025 dividend cash paid from Apple FY2025 Form 10-K cash flow statement [L:1112-1156]; dividend per share derived from diluted shares.</t>
      </text>
    </comment>
    <comment ref="F13" authorId="0" shapeId="0">
      <text>
        <t>Apple declared a $0.26 quarterly dividend in the Q4 FY2025 release; annualized $1.04, with modest growth assumed.</t>
      </text>
    </comment>
    <comment ref="C14" authorId="0" shapeId="0">
      <text>
        <t>Payments for dividends and dividend equivalents from Apple FY2025 Form 10-K cash flow statement [L:1112-1156].</t>
      </text>
    </comment>
    <comment ref="E14" authorId="0" shapeId="0">
      <text>
        <t>FY2025 dividends and dividend equivalents paid from Apple FY2025 Form 10-K cash flow statement [L:1112-1156].</t>
      </text>
    </comment>
    <comment ref="C15" authorId="0" shapeId="0">
      <text>
        <t>Repurchases of common stock from Apple FY2025 Form 10-K cash flow statement [L:1112-1156].</t>
      </text>
    </comment>
    <comment ref="E15" authorId="0" shapeId="0">
      <text>
        <t>FY2025 common stock repurchases from Apple FY2025 Form 10-K cash flow statement [L:1112-1156] and Q4 FY2025 press release [L:169-210].</t>
      </text>
    </comment>
    <comment ref="F15" authorId="0" shapeId="0">
      <text>
        <t>Assume Apple sustains approximately FY2025 buyback cadence, consistent with very large capital return history.</t>
      </text>
    </comment>
    <comment ref="H15" authorId="0" shapeId="0">
      <text>
        <t>Taper buybacks modestly as the model prioritizes flexibility for investment and balance-sheet capacity.</t>
      </text>
    </comment>
    <comment ref="F16" authorId="0" shapeId="0">
      <text>
        <t>Assume ongoing buyback-driven diluted share count decline, broadly consistent with Apple capital return history.</t>
      </text>
    </comment>
    <comment ref="C17" authorId="0" shapeId="0">
      <text>
        <t>Weighted-average diluted shares from Apple FY2025 Form 10-K EPS table; reported in thousands, shown here as millions [L:965-999; L:1254-1269].</t>
      </text>
    </comment>
    <comment ref="E17" authorId="0" shapeId="0">
      <text>
        <t>FY2025 weighted-average diluted shares from Apple FY2025 Form 10-K [L:965-999; L:1254-1269].</t>
      </text>
    </comment>
    <comment ref="C18" authorId="0" shapeId="0">
      <text>
        <t>FY2023 common stock and APIC from Apple FY2024 Form 10-K balance sheet [L:1190-1190].</t>
      </text>
    </comment>
    <comment ref="E18" authorId="0" shapeId="0">
      <text>
        <t>FY2025 common stock and APIC from Apple FY2025 Form 10-K balance sheet [L:1030-1074].</t>
      </text>
    </comment>
    <comment ref="C19" authorId="0" shapeId="0">
      <text>
        <t>FY2023 accumulated deficit from Apple FY2024 Form 10-K balance sheet [L:1191-1191].</t>
      </text>
    </comment>
    <comment ref="E19" authorId="0" shapeId="0">
      <text>
        <t>FY2025 accumulated deficit from Apple FY2025 Form 10-K balance sheet [L:1030-1074].</t>
      </text>
    </comment>
    <comment ref="C20" authorId="0" shapeId="0">
      <text>
        <t>FY2023 accumulated other comprehensive loss from Apple FY2024 Form 10-K balance sheet [L:1192-1192].</t>
      </text>
    </comment>
    <comment ref="E20" authorId="0" shapeId="0">
      <text>
        <t>FY2025 accumulated other comprehensive loss from Apple FY2025 Form 10-K balance sheet [L:1030-1074].</t>
      </text>
    </comment>
  </commentList>
</comments>
</file>

<file path=xl/comments/comment6.xml><?xml version="1.0" encoding="utf-8"?>
<comments xmlns="http://schemas.openxmlformats.org/spreadsheetml/2006/main">
  <authors>
    <author>Primer</author>
  </authors>
  <commentList>
    <comment ref="E4" authorId="0" shapeId="0">
      <text>
        <t>Apple FY2025 Form 10-K / Annual Report. Primer document ID: AAPL:US_20251030_Q4_10K. SEC filing link: https://www.sec.gov/Archives/edgar/data/320193/000032019325000079/aapl-20250927.htm</t>
      </text>
    </comment>
    <comment ref="E5" authorId="0" shapeId="0">
      <text>
        <t>Apple Q4 FY2025 results press release / 8-K. Primer document ID: AAPL:US_20251030_Q4_8K_2. Apple Newsroom link: https://www.apple.com/newsroom/2025/10/apple-reports-fourth-quarter-results/</t>
      </text>
    </comment>
    <comment ref="C6" authorId="0" shapeId="0">
      <text>
        <t>Used only to supplement FY2023 balance sheet lines not included in the latest FY2025 10-K balance sheet. Primer document ID: AAPL:US_20241031_Q4_10K. SEC filing link: https://www.sec.gov/Archives/edgar/data/320193/000032019324000123/aapl-20240928.htm</t>
      </text>
    </comment>
    <comment ref="F7" authorId="0" shapeId="0">
      <text>
        <t>Consensus estimate_series source_ref sr_QUBTt8pmWCkl, as of 2026-05-24. Available forward annual consensus from tool covered FY2026 and FY2027 revenue/EPS only; FY2028-FY2029 are model extrapolations.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6.xml" Id="comments" /><Relationship Type="http://schemas.openxmlformats.org/officeDocument/2006/relationships/vmlDrawing" Target="/xl/drawings/commentsDrawing6.vml" Id="anysv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1"/>
    <pageSetUpPr/>
  </sheetPr>
  <dimension ref="A1:I115"/>
  <sheetViews>
    <sheetView showGridLines="0" zoomScale="85" zoomScaleNormal="85" workbookViewId="0">
      <pane xSplit="2" ySplit="2" topLeftCell="C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>
      <c r="C1" s="1" t="inlineStr">
        <is>
          <t>2023</t>
        </is>
      </c>
      <c r="D1" s="1" t="inlineStr">
        <is>
          <t>2024</t>
        </is>
      </c>
      <c r="E1" s="1" t="inlineStr">
        <is>
          <t>2025</t>
        </is>
      </c>
      <c r="F1" s="1" t="inlineStr">
        <is>
          <t>2026</t>
        </is>
      </c>
      <c r="G1" s="1" t="inlineStr">
        <is>
          <t>2027</t>
        </is>
      </c>
      <c r="H1" s="1" t="inlineStr">
        <is>
          <t>2028</t>
        </is>
      </c>
      <c r="I1" s="1" t="inlineStr">
        <is>
          <t>2029</t>
        </is>
      </c>
    </row>
    <row r="2">
      <c r="A2" s="2" t="inlineStr">
        <is>
          <t>Metric</t>
        </is>
      </c>
      <c r="B2" s="3" t="inlineStr">
        <is>
          <t>Units</t>
        </is>
      </c>
      <c r="C2" s="3" t="inlineStr">
        <is>
          <t>FY23</t>
        </is>
      </c>
      <c r="D2" s="3" t="inlineStr">
        <is>
          <t>FY24</t>
        </is>
      </c>
      <c r="E2" s="3" t="inlineStr">
        <is>
          <t>FY25</t>
        </is>
      </c>
      <c r="F2" s="4" t="inlineStr">
        <is>
          <t>FY26E</t>
        </is>
      </c>
      <c r="G2" s="4" t="inlineStr">
        <is>
          <t>FY27E</t>
        </is>
      </c>
      <c r="H2" s="4" t="inlineStr">
        <is>
          <t>FY28E</t>
        </is>
      </c>
      <c r="I2" s="4" t="inlineStr">
        <is>
          <t>FY29E</t>
        </is>
      </c>
    </row>
    <row r="3">
      <c r="A3" s="5" t="inlineStr">
        <is>
          <t>Forecast Assumptions</t>
        </is>
      </c>
      <c r="B3" s="6" t="n"/>
      <c r="C3" s="6" t="n"/>
      <c r="D3" s="6" t="n"/>
      <c r="E3" s="6" t="n"/>
      <c r="F3" s="6" t="n"/>
      <c r="G3" s="6" t="n"/>
      <c r="H3" s="6" t="n"/>
      <c r="I3" s="6" t="n"/>
    </row>
    <row r="4">
      <c r="A4" s="7" t="inlineStr">
        <is>
          <t>Consensus Revenue</t>
        </is>
      </c>
      <c r="B4" s="8" t="inlineStr">
        <is>
          <t>$m</t>
        </is>
      </c>
      <c r="C4" s="9" t="n"/>
      <c r="D4" s="9" t="n"/>
      <c r="E4" s="10" t="n">
        <v>415655.4</v>
      </c>
      <c r="F4" s="11" t="n">
        <v>478083.8</v>
      </c>
      <c r="G4" s="11" t="n">
        <v>517590.4</v>
      </c>
      <c r="H4" s="12" t="n"/>
      <c r="I4" s="12" t="n"/>
    </row>
    <row r="5">
      <c r="A5" s="7" t="inlineStr">
        <is>
          <t>Consensus Diluted EPS</t>
        </is>
      </c>
      <c r="B5" s="8" t="inlineStr">
        <is>
          <t>$</t>
        </is>
      </c>
      <c r="C5" s="9" t="n"/>
      <c r="D5" s="9" t="n"/>
      <c r="E5" s="10" t="n">
        <v>7.4</v>
      </c>
      <c r="F5" s="11" t="n">
        <v>8.800000000000001</v>
      </c>
      <c r="G5" s="11" t="n">
        <v>9.699999999999999</v>
      </c>
      <c r="H5" s="12" t="n"/>
      <c r="I5" s="12" t="n"/>
    </row>
    <row r="6" outlineLevel="1">
      <c r="A6" s="13" t="inlineStr">
        <is>
          <t xml:space="preserve">  iPhone Revenue Growth</t>
        </is>
      </c>
      <c r="B6" s="8" t="inlineStr">
        <is>
          <t>%</t>
        </is>
      </c>
      <c r="C6" s="14" t="n"/>
      <c r="D6" s="15">
        <f>(D27*1000000) / (C27*1000000) - 1</f>
        <v>0.003</v>
      </c>
      <c r="E6" s="15">
        <f>(E27*1000000) / (D27*1000000) - 1</f>
        <v>0.042</v>
      </c>
      <c r="F6" s="16">
        <f>(F27*1000000) / (E27*1000000) - 1</f>
        <v>0.212</v>
      </c>
      <c r="G6" s="16">
        <f>(G27*1000000) / (F27*1000000) - 1</f>
        <v>0.09</v>
      </c>
      <c r="H6" s="17" t="n">
        <v>0.03</v>
      </c>
      <c r="I6" s="17" t="n">
        <v>0.025</v>
      </c>
    </row>
    <row r="7" outlineLevel="1">
      <c r="A7" s="13" t="inlineStr">
        <is>
          <t xml:space="preserve">  Mac Revenue Growth</t>
        </is>
      </c>
      <c r="B7" s="8" t="inlineStr">
        <is>
          <t>%</t>
        </is>
      </c>
      <c r="C7" s="14" t="n"/>
      <c r="D7" s="15">
        <f>(D28*1000000) / (C28*1000000) - 1</f>
        <v>0.021</v>
      </c>
      <c r="E7" s="15">
        <f>(E28*1000000) / (D28*1000000) - 1</f>
        <v>0.124</v>
      </c>
      <c r="F7" s="17" t="n">
        <v>0.05</v>
      </c>
      <c r="G7" s="17" t="n">
        <v>0.04</v>
      </c>
      <c r="H7" s="17" t="n">
        <v>0.03</v>
      </c>
      <c r="I7" s="17" t="n">
        <v>0.03</v>
      </c>
    </row>
    <row r="8" outlineLevel="1">
      <c r="A8" s="13" t="inlineStr">
        <is>
          <t xml:space="preserve">  iPad Revenue Growth</t>
        </is>
      </c>
      <c r="B8" s="8" t="inlineStr">
        <is>
          <t>%</t>
        </is>
      </c>
      <c r="C8" s="14" t="n"/>
      <c r="D8" s="15">
        <f>(D29*1000000) / (C29*1000000) - 1</f>
        <v>-0.057</v>
      </c>
      <c r="E8" s="15">
        <f>(E29*1000000) / (D29*1000000) - 1</f>
        <v>0.05</v>
      </c>
      <c r="F8" s="17" t="n">
        <v>0.04</v>
      </c>
      <c r="G8" s="17" t="n">
        <v>0.03</v>
      </c>
      <c r="H8" s="17" t="n">
        <v>0.025</v>
      </c>
      <c r="I8" s="17" t="n">
        <v>0.025</v>
      </c>
    </row>
    <row r="9" outlineLevel="1">
      <c r="A9" s="13" t="inlineStr">
        <is>
          <t xml:space="preserve">  Wearables / Home / Accessories Growth</t>
        </is>
      </c>
      <c r="B9" s="8" t="inlineStr">
        <is>
          <t>%</t>
        </is>
      </c>
      <c r="C9" s="14" t="n"/>
      <c r="D9" s="15">
        <f>(D30*1000000) / (C30*1000000) - 1</f>
        <v>-0.071</v>
      </c>
      <c r="E9" s="15">
        <f>(E30*1000000) / (D30*1000000) - 1</f>
        <v>-0.036</v>
      </c>
      <c r="F9" s="17" t="n">
        <v>0.03</v>
      </c>
      <c r="G9" s="17" t="n">
        <v>0.025</v>
      </c>
      <c r="H9" s="17" t="n">
        <v>0.025</v>
      </c>
      <c r="I9" s="17" t="n">
        <v>0.025</v>
      </c>
    </row>
    <row r="10" outlineLevel="1">
      <c r="A10" s="13" t="inlineStr">
        <is>
          <t xml:space="preserve">  Services Revenue Growth</t>
        </is>
      </c>
      <c r="B10" s="8" t="inlineStr">
        <is>
          <t>%</t>
        </is>
      </c>
      <c r="C10" s="14" t="n"/>
      <c r="D10" s="15">
        <f>(D32*1000000) / (C32*1000000) - 1</f>
        <v>0.129</v>
      </c>
      <c r="E10" s="15">
        <f>(E32*1000000) / (D32*1000000) - 1</f>
        <v>0.135</v>
      </c>
      <c r="F10" s="17" t="n">
        <v>0.125</v>
      </c>
      <c r="G10" s="17" t="n">
        <v>0.11</v>
      </c>
      <c r="H10" s="17" t="n">
        <v>0.1</v>
      </c>
      <c r="I10" s="17" t="n">
        <v>0.09</v>
      </c>
    </row>
    <row r="11" outlineLevel="1">
      <c r="A11" s="13" t="inlineStr">
        <is>
          <t xml:space="preserve">  Products Gross Margin %</t>
        </is>
      </c>
      <c r="B11" s="8" t="inlineStr">
        <is>
          <t>%</t>
        </is>
      </c>
      <c r="C11" s="15">
        <f>(C38*1000000) / (C31*1000000)</f>
        <v>0.365</v>
      </c>
      <c r="D11" s="15">
        <f>(D38*1000000) / (D31*1000000)</f>
        <v>0.372</v>
      </c>
      <c r="E11" s="15">
        <f>(E38*1000000) / (E31*1000000)</f>
        <v>0.368</v>
      </c>
      <c r="F11" s="17" t="n">
        <v>0.36</v>
      </c>
      <c r="G11" s="17" t="n">
        <v>0.362</v>
      </c>
      <c r="H11" s="17" t="n">
        <v>0.364</v>
      </c>
      <c r="I11" s="17" t="n">
        <v>0.365</v>
      </c>
    </row>
    <row r="12" outlineLevel="1">
      <c r="A12" s="13" t="inlineStr">
        <is>
          <t xml:space="preserve">  Services Gross Margin %</t>
        </is>
      </c>
      <c r="B12" s="8" t="inlineStr">
        <is>
          <t>%</t>
        </is>
      </c>
      <c r="C12" s="15">
        <f>(C40*1000000) / (C32*1000000)</f>
        <v>0.708</v>
      </c>
      <c r="D12" s="15">
        <f>(D40*1000000) / (D32*1000000)</f>
        <v>0.739</v>
      </c>
      <c r="E12" s="15">
        <f>(E40*1000000) / (E32*1000000)</f>
        <v>0.754</v>
      </c>
      <c r="F12" s="17" t="n">
        <v>0.755</v>
      </c>
      <c r="G12" s="17" t="n">
        <v>0.76</v>
      </c>
      <c r="H12" s="17" t="n">
        <v>0.763</v>
      </c>
      <c r="I12" s="17" t="n">
        <v>0.765</v>
      </c>
    </row>
    <row r="13" outlineLevel="1">
      <c r="A13" s="13" t="inlineStr">
        <is>
          <t xml:space="preserve">  R&amp;D Growth</t>
        </is>
      </c>
      <c r="B13" s="8" t="inlineStr">
        <is>
          <t>%</t>
        </is>
      </c>
      <c r="C13" s="14" t="n"/>
      <c r="D13" s="15">
        <f>(D44*1000000) / (C44*1000000) - 1</f>
        <v>0.049</v>
      </c>
      <c r="E13" s="15">
        <f>(E44*1000000) / (D44*1000000) - 1</f>
        <v>0.101</v>
      </c>
      <c r="F13" s="17" t="n">
        <v>0.12</v>
      </c>
      <c r="G13" s="17" t="n">
        <v>0.13</v>
      </c>
      <c r="H13" s="17" t="n">
        <v>0.1</v>
      </c>
      <c r="I13" s="17" t="n">
        <v>0.09</v>
      </c>
    </row>
    <row r="14" outlineLevel="1">
      <c r="A14" s="13" t="inlineStr">
        <is>
          <t xml:space="preserve">  SG&amp;A Growth</t>
        </is>
      </c>
      <c r="B14" s="8" t="inlineStr">
        <is>
          <t>%</t>
        </is>
      </c>
      <c r="C14" s="14" t="n"/>
      <c r="D14" s="15">
        <f>(D45*1000000) / (C45*1000000) - 1</f>
        <v>0.047</v>
      </c>
      <c r="E14" s="15">
        <f>(E45*1000000) / (D45*1000000) - 1</f>
        <v>0.058</v>
      </c>
      <c r="F14" s="17" t="n">
        <v>0.07000000000000001</v>
      </c>
      <c r="G14" s="17" t="n">
        <v>0.06</v>
      </c>
      <c r="H14" s="17" t="n">
        <v>0.05</v>
      </c>
      <c r="I14" s="17" t="n">
        <v>0.05</v>
      </c>
    </row>
    <row r="15" outlineLevel="1">
      <c r="A15" s="13" t="inlineStr">
        <is>
          <t xml:space="preserve">  Effective Tax Rate</t>
        </is>
      </c>
      <c r="B15" s="8" t="inlineStr">
        <is>
          <t>%</t>
        </is>
      </c>
      <c r="C15" s="15">
        <f>-(C53*1000000) / (C51*1000000)</f>
        <v>0.147</v>
      </c>
      <c r="D15" s="15">
        <f>-(D53*1000000) / (D51*1000000)</f>
        <v>0.241</v>
      </c>
      <c r="E15" s="15">
        <f>-(E53*1000000) / (E51*1000000)</f>
        <v>0.156</v>
      </c>
      <c r="F15" s="17" t="n">
        <v>0.16</v>
      </c>
      <c r="G15" s="17" t="n">
        <v>0.165</v>
      </c>
      <c r="H15" s="17" t="n">
        <v>0.165</v>
      </c>
      <c r="I15" s="17" t="n">
        <v>0.165</v>
      </c>
    </row>
    <row r="16" outlineLevel="1">
      <c r="A16" s="13" t="inlineStr">
        <is>
          <t xml:space="preserve">  Diluted Share Count Reduction</t>
        </is>
      </c>
      <c r="B16" s="8" t="inlineStr">
        <is>
          <t>%</t>
        </is>
      </c>
      <c r="C16" s="14" t="n"/>
      <c r="D16" s="14" t="n"/>
      <c r="E16" s="14" t="n"/>
      <c r="F16" s="17" t="n">
        <v>0.025</v>
      </c>
      <c r="G16" s="17" t="n">
        <v>0.025</v>
      </c>
      <c r="H16" s="17" t="n">
        <v>0.025</v>
      </c>
      <c r="I16" s="17" t="n">
        <v>0.025</v>
      </c>
    </row>
    <row r="17" outlineLevel="1">
      <c r="A17" s="13" t="inlineStr">
        <is>
          <t xml:space="preserve">  Dividend per Share</t>
        </is>
      </c>
      <c r="B17" s="8" t="inlineStr">
        <is>
          <t>$</t>
        </is>
      </c>
      <c r="C17" s="18">
        <f>-(C109*1000000) / (C56*1000000)</f>
        <v>0.95</v>
      </c>
      <c r="D17" s="18">
        <f>-(D109*1000000) / (D56*1000000)</f>
        <v>0.99</v>
      </c>
      <c r="E17" s="18">
        <f>-(E109*1000000) / (E56*1000000)</f>
        <v>1.03</v>
      </c>
      <c r="F17" s="19" t="n">
        <v>1.08</v>
      </c>
      <c r="G17" s="19" t="n">
        <v>1.12</v>
      </c>
      <c r="H17" s="19" t="n">
        <v>1.17</v>
      </c>
      <c r="I17" s="19" t="n">
        <v>1.22</v>
      </c>
    </row>
    <row r="18" outlineLevel="1">
      <c r="A18" s="13" t="inlineStr">
        <is>
          <t xml:space="preserve">  Accounts Receivable Days</t>
        </is>
      </c>
      <c r="B18" s="8" t="inlineStr">
        <is>
          <t>#</t>
        </is>
      </c>
      <c r="C18" s="20">
        <f>(C63*1000000) / (C33*1000000) * 365</f>
        <v>28.1</v>
      </c>
      <c r="D18" s="20">
        <f>(D63*1000000) / (D33*1000000) * 365</f>
        <v>31.2</v>
      </c>
      <c r="E18" s="20">
        <f>(E63*1000000) / (E33*1000000) * 365</f>
        <v>34.9</v>
      </c>
      <c r="F18" s="21" t="n">
        <v>33.5</v>
      </c>
      <c r="G18" s="21" t="n">
        <v>33</v>
      </c>
      <c r="H18" s="21" t="n">
        <v>33</v>
      </c>
      <c r="I18" s="21" t="n">
        <v>33</v>
      </c>
    </row>
    <row r="19" outlineLevel="1">
      <c r="A19" s="13" t="inlineStr">
        <is>
          <t xml:space="preserve">  Inventory Days</t>
        </is>
      </c>
      <c r="B19" s="8" t="inlineStr">
        <is>
          <t>#</t>
        </is>
      </c>
      <c r="C19" s="20">
        <f>(C65*1000000) / -(C37*1000000) * 365</f>
        <v>10.8</v>
      </c>
      <c r="D19" s="20">
        <f>(D65*1000000) / -(D37*1000000) * 365</f>
        <v>12.6</v>
      </c>
      <c r="E19" s="20">
        <f>(E65*1000000) / -(E37*1000000) * 365</f>
        <v>9.4</v>
      </c>
      <c r="F19" s="21" t="n">
        <v>10</v>
      </c>
      <c r="G19" s="21" t="n">
        <v>10</v>
      </c>
      <c r="H19" s="21" t="n">
        <v>10</v>
      </c>
      <c r="I19" s="21" t="n">
        <v>10</v>
      </c>
    </row>
    <row r="20" outlineLevel="1">
      <c r="A20" s="13" t="inlineStr">
        <is>
          <t xml:space="preserve">  Accounts Payable Days</t>
        </is>
      </c>
      <c r="B20" s="8" t="inlineStr">
        <is>
          <t>#</t>
        </is>
      </c>
      <c r="C20" s="20">
        <f>(C73*1000000) / -(C37*1000000) * 365</f>
        <v>106.7</v>
      </c>
      <c r="D20" s="20">
        <f>(D73*1000000) / -(D37*1000000) * 365</f>
        <v>119.7</v>
      </c>
      <c r="E20" s="20">
        <f>(E73*1000000) / -(E37*1000000) * 365</f>
        <v>115.4</v>
      </c>
      <c r="F20" s="21" t="n">
        <v>112</v>
      </c>
      <c r="G20" s="21" t="n">
        <v>112</v>
      </c>
      <c r="H20" s="21" t="n">
        <v>112</v>
      </c>
      <c r="I20" s="21" t="n">
        <v>112</v>
      </c>
    </row>
    <row r="21" outlineLevel="1">
      <c r="A21" s="13" t="inlineStr">
        <is>
          <t xml:space="preserve">  Capex / Revenue</t>
        </is>
      </c>
      <c r="B21" s="8" t="inlineStr">
        <is>
          <t>%</t>
        </is>
      </c>
      <c r="C21" s="15">
        <f>-(C105*1000000) / (C33*1000000)</f>
        <v>0.029</v>
      </c>
      <c r="D21" s="15">
        <f>-(D105*1000000) / (D33*1000000)</f>
        <v>0.024</v>
      </c>
      <c r="E21" s="15">
        <f>-(E105*1000000) / (E33*1000000)</f>
        <v>0.031</v>
      </c>
      <c r="F21" s="17" t="n">
        <v>0.032</v>
      </c>
      <c r="G21" s="17" t="n">
        <v>0.032</v>
      </c>
      <c r="H21" s="17" t="n">
        <v>0.031</v>
      </c>
      <c r="I21" s="17" t="n">
        <v>0.031</v>
      </c>
    </row>
    <row r="22" outlineLevel="1">
      <c r="A22" s="13" t="inlineStr">
        <is>
          <t xml:space="preserve">  Current Marketable Securities / Revenue</t>
        </is>
      </c>
      <c r="B22" s="8" t="inlineStr">
        <is>
          <t>%</t>
        </is>
      </c>
      <c r="C22" s="15">
        <f>(C62*1000000) / (C33*1000000)</f>
        <v>0.082</v>
      </c>
      <c r="D22" s="15">
        <f>(D62*1000000) / (D33*1000000)</f>
        <v>0.09</v>
      </c>
      <c r="E22" s="15">
        <f>(E62*1000000) / (E33*1000000)</f>
        <v>0.045</v>
      </c>
      <c r="F22" s="17" t="n">
        <v>0.04</v>
      </c>
      <c r="G22" s="17" t="n">
        <v>0.038</v>
      </c>
      <c r="H22" s="17" t="n">
        <v>0.035</v>
      </c>
      <c r="I22" s="17" t="n">
        <v>0.032</v>
      </c>
    </row>
    <row r="23" outlineLevel="1">
      <c r="A23" s="13" t="inlineStr">
        <is>
          <t xml:space="preserve">  Non-Current Marketable Securities / Revenue</t>
        </is>
      </c>
      <c r="B23" s="8" t="inlineStr">
        <is>
          <t>%</t>
        </is>
      </c>
      <c r="C23" s="15">
        <f>(C68*1000000) / (C33*1000000)</f>
        <v>0.262</v>
      </c>
      <c r="D23" s="15">
        <f>(D68*1000000) / (D33*1000000)</f>
        <v>0.234</v>
      </c>
      <c r="E23" s="15">
        <f>(E68*1000000) / (E33*1000000)</f>
        <v>0.187</v>
      </c>
      <c r="F23" s="17" t="n">
        <v>0.16</v>
      </c>
      <c r="G23" s="17" t="n">
        <v>0.14</v>
      </c>
      <c r="H23" s="17" t="n">
        <v>0.12</v>
      </c>
      <c r="I23" s="17" t="n">
        <v>0.1</v>
      </c>
    </row>
    <row r="24" outlineLevel="1">
      <c r="A24" s="13" t="inlineStr">
        <is>
          <t xml:space="preserve">  D&amp;A / Revenue</t>
        </is>
      </c>
      <c r="B24" s="8" t="inlineStr">
        <is>
          <t>%</t>
        </is>
      </c>
      <c r="C24" s="15">
        <f>(C93*1000000) / (C33*1000000)</f>
        <v>0.03</v>
      </c>
      <c r="D24" s="15">
        <f>(D93*1000000) / (D33*1000000)</f>
        <v>0.029</v>
      </c>
      <c r="E24" s="15">
        <f>(E93*1000000) / (E33*1000000)</f>
        <v>0.028</v>
      </c>
      <c r="F24" s="17" t="n">
        <v>0.027</v>
      </c>
      <c r="G24" s="17" t="n">
        <v>0.027</v>
      </c>
      <c r="H24" s="17" t="n">
        <v>0.027</v>
      </c>
      <c r="I24" s="17" t="n">
        <v>0.027</v>
      </c>
    </row>
    <row r="25" outlineLevel="1">
      <c r="A25" s="13" t="inlineStr">
        <is>
          <t xml:space="preserve">  Share-Based Compensation / Revenue</t>
        </is>
      </c>
      <c r="B25" s="8" t="inlineStr">
        <is>
          <t>%</t>
        </is>
      </c>
      <c r="C25" s="15">
        <f>(C94*1000000) / (C33*1000000)</f>
        <v>0.028</v>
      </c>
      <c r="D25" s="15">
        <f>(D94*1000000) / (D33*1000000)</f>
        <v>0.03</v>
      </c>
      <c r="E25" s="15">
        <f>(E94*1000000) / (E33*1000000)</f>
        <v>0.031</v>
      </c>
      <c r="F25" s="17" t="n">
        <v>0.03</v>
      </c>
      <c r="G25" s="17" t="n">
        <v>0.03</v>
      </c>
      <c r="H25" s="17" t="n">
        <v>0.03</v>
      </c>
      <c r="I25" s="17" t="n">
        <v>0.03</v>
      </c>
    </row>
    <row r="26">
      <c r="A26" s="5" t="inlineStr">
        <is>
          <t>Income Statement</t>
        </is>
      </c>
      <c r="B26" s="6" t="n"/>
      <c r="C26" s="6" t="n"/>
      <c r="D26" s="6" t="n"/>
      <c r="E26" s="6" t="n"/>
      <c r="F26" s="6" t="n"/>
      <c r="G26" s="6" t="n"/>
      <c r="H26" s="6" t="n"/>
      <c r="I26" s="6" t="n"/>
    </row>
    <row r="27" outlineLevel="1">
      <c r="A27" s="13" t="inlineStr">
        <is>
          <t xml:space="preserve">  iPhone Net Sales</t>
        </is>
      </c>
      <c r="B27" s="8" t="inlineStr">
        <is>
          <t>$m</t>
        </is>
      </c>
      <c r="C27" s="20" t="n">
        <v>200583</v>
      </c>
      <c r="D27" s="20" t="n">
        <v>201183</v>
      </c>
      <c r="E27" s="20" t="n">
        <v>209586</v>
      </c>
      <c r="F27" s="22">
        <f>(((F4*1000000) - (F28*1000000) - (F29*1000000) - (F30*1000000) - (F32*1000000))/1000000)</f>
        <v>253987.2</v>
      </c>
      <c r="G27" s="22">
        <f>(((G4*1000000) - (G28*1000000) - (G29*1000000) - (G30*1000000) - (G32*1000000))/1000000)</f>
        <v>276776.5</v>
      </c>
      <c r="H27" s="22">
        <f>(((G27*1000000) * (1 + H6))/1000000)</f>
        <v>285079.8</v>
      </c>
      <c r="I27" s="22">
        <f>(((H27*1000000) * (1 + I6))/1000000)</f>
        <v>292206.8</v>
      </c>
    </row>
    <row r="28" outlineLevel="1">
      <c r="A28" s="13" t="inlineStr">
        <is>
          <t xml:space="preserve">  Mac Net Sales</t>
        </is>
      </c>
      <c r="B28" s="8" t="inlineStr">
        <is>
          <t>$m</t>
        </is>
      </c>
      <c r="C28" s="20" t="n">
        <v>29357</v>
      </c>
      <c r="D28" s="20" t="n">
        <v>29984</v>
      </c>
      <c r="E28" s="20" t="n">
        <v>33708</v>
      </c>
      <c r="F28" s="22">
        <f>(((E28*1000000) * (1 + F7))/1000000)</f>
        <v>35393.4</v>
      </c>
      <c r="G28" s="22">
        <f>(((F28*1000000) * (1 + G7))/1000000)</f>
        <v>36809.1</v>
      </c>
      <c r="H28" s="22">
        <f>(((G28*1000000) * (1 + H7))/1000000)</f>
        <v>37913.4</v>
      </c>
      <c r="I28" s="22">
        <f>(((H28*1000000) * (1 + I7))/1000000)</f>
        <v>39050.8</v>
      </c>
    </row>
    <row r="29" outlineLevel="1">
      <c r="A29" s="13" t="inlineStr">
        <is>
          <t xml:space="preserve">  iPad Net Sales</t>
        </is>
      </c>
      <c r="B29" s="8" t="inlineStr">
        <is>
          <t>$m</t>
        </is>
      </c>
      <c r="C29" s="20" t="n">
        <v>28300</v>
      </c>
      <c r="D29" s="20" t="n">
        <v>26694</v>
      </c>
      <c r="E29" s="20" t="n">
        <v>28023</v>
      </c>
      <c r="F29" s="22">
        <f>(((E29*1000000) * (1 + F8))/1000000)</f>
        <v>29143.9</v>
      </c>
      <c r="G29" s="22">
        <f>(((F29*1000000) * (1 + G8))/1000000)</f>
        <v>30018.2</v>
      </c>
      <c r="H29" s="22">
        <f>(((G29*1000000) * (1 + H8))/1000000)</f>
        <v>30768.7</v>
      </c>
      <c r="I29" s="22">
        <f>(((H29*1000000) * (1 + I8))/1000000)</f>
        <v>31537.9</v>
      </c>
    </row>
    <row r="30" outlineLevel="1">
      <c r="A30" s="13" t="inlineStr">
        <is>
          <t xml:space="preserve">  Wearables, Home and Accessories Net Sales</t>
        </is>
      </c>
      <c r="B30" s="8" t="inlineStr">
        <is>
          <t>$m</t>
        </is>
      </c>
      <c r="C30" s="20" t="n">
        <v>39845</v>
      </c>
      <c r="D30" s="20" t="n">
        <v>37005</v>
      </c>
      <c r="E30" s="20" t="n">
        <v>35686</v>
      </c>
      <c r="F30" s="22">
        <f>(((E30*1000000) * (1 + F9))/1000000)</f>
        <v>36756.6</v>
      </c>
      <c r="G30" s="22">
        <f>(((F30*1000000) * (1 + G9))/1000000)</f>
        <v>37675.5</v>
      </c>
      <c r="H30" s="22">
        <f>(((G30*1000000) * (1 + H9))/1000000)</f>
        <v>38617.4</v>
      </c>
      <c r="I30" s="22">
        <f>(((H30*1000000) * (1 + I9))/1000000)</f>
        <v>39582.8</v>
      </c>
    </row>
    <row r="31">
      <c r="A31" s="7" t="inlineStr">
        <is>
          <t>Products Net Sales</t>
        </is>
      </c>
      <c r="B31" s="8" t="inlineStr">
        <is>
          <t>$m</t>
        </is>
      </c>
      <c r="C31" s="10">
        <f>(((C27*1000000) + (C28*1000000) + (C29*1000000) + (C30*1000000))/1000000)</f>
        <v>298085</v>
      </c>
      <c r="D31" s="10">
        <f>(((D27*1000000) + (D28*1000000) + (D29*1000000) + (D30*1000000))/1000000)</f>
        <v>294866</v>
      </c>
      <c r="E31" s="10">
        <f>(((E27*1000000) + (E28*1000000) + (E29*1000000) + (E30*1000000))/1000000)</f>
        <v>307003</v>
      </c>
      <c r="F31" s="23">
        <f>(((F27*1000000) + (F28*1000000) + (F29*1000000) + (F30*1000000))/1000000)</f>
        <v>355281.1</v>
      </c>
      <c r="G31" s="23">
        <f>(((G27*1000000) + (G28*1000000) + (G29*1000000) + (G30*1000000))/1000000)</f>
        <v>381279.4</v>
      </c>
      <c r="H31" s="23">
        <f>(((H27*1000000) + (H28*1000000) + (H29*1000000) + (H30*1000000))/1000000)</f>
        <v>392379.3</v>
      </c>
      <c r="I31" s="23">
        <f>(((I27*1000000) + (I28*1000000) + (I29*1000000) + (I30*1000000))/1000000)</f>
        <v>402378.4</v>
      </c>
    </row>
    <row r="32" outlineLevel="1">
      <c r="A32" s="13" t="inlineStr">
        <is>
          <t xml:space="preserve">  Services Net Sales</t>
        </is>
      </c>
      <c r="B32" s="8" t="inlineStr">
        <is>
          <t>$m</t>
        </is>
      </c>
      <c r="C32" s="20" t="n">
        <v>85200</v>
      </c>
      <c r="D32" s="20" t="n">
        <v>96169</v>
      </c>
      <c r="E32" s="20" t="n">
        <v>109158</v>
      </c>
      <c r="F32" s="22">
        <f>(((E32*1000000) * (1 + F10))/1000000)</f>
        <v>122802.8</v>
      </c>
      <c r="G32" s="22">
        <f>(((F32*1000000) * (1 + G10))/1000000)</f>
        <v>136311.1</v>
      </c>
      <c r="H32" s="22">
        <f>(((G32*1000000) * (1 + H10))/1000000)</f>
        <v>149942.2</v>
      </c>
      <c r="I32" s="22">
        <f>(((H32*1000000) * (1 + I10))/1000000)</f>
        <v>163437</v>
      </c>
    </row>
    <row r="33">
      <c r="A33" s="7" t="inlineStr">
        <is>
          <t>Total Net Sales</t>
        </is>
      </c>
      <c r="B33" s="8" t="inlineStr">
        <is>
          <t>$m</t>
        </is>
      </c>
      <c r="C33" s="10">
        <f>(((C31*1000000) + (C32*1000000))/1000000)</f>
        <v>383285</v>
      </c>
      <c r="D33" s="10">
        <f>(((D31*1000000) + (D32*1000000))/1000000)</f>
        <v>391035</v>
      </c>
      <c r="E33" s="10">
        <f>(((E31*1000000) + (E32*1000000))/1000000)</f>
        <v>416161</v>
      </c>
      <c r="F33" s="23">
        <f>(((F31*1000000) + (F32*1000000))/1000000)</f>
        <v>478083.8</v>
      </c>
      <c r="G33" s="23">
        <f>(((G31*1000000) + (G32*1000000))/1000000)</f>
        <v>517590.4</v>
      </c>
      <c r="H33" s="23">
        <f>(((H31*1000000) + (H32*1000000))/1000000)</f>
        <v>542321.5</v>
      </c>
      <c r="I33" s="23">
        <f>(((I31*1000000) + (I32*1000000))/1000000)</f>
        <v>565815.3</v>
      </c>
    </row>
    <row r="34" outlineLevel="1">
      <c r="A34" s="13" t="inlineStr">
        <is>
          <t xml:space="preserve">  Total Net Sales Growth</t>
        </is>
      </c>
      <c r="B34" s="8" t="inlineStr">
        <is>
          <t>%</t>
        </is>
      </c>
      <c r="C34" s="14" t="n"/>
      <c r="D34" s="15">
        <f>(D33*1000000) / (C33*1000000) - 1</f>
        <v>0.02</v>
      </c>
      <c r="E34" s="15">
        <f>(E33*1000000) / (D33*1000000) - 1</f>
        <v>0.064</v>
      </c>
      <c r="F34" s="16">
        <f>(F33*1000000) / (E33*1000000) - 1</f>
        <v>0.149</v>
      </c>
      <c r="G34" s="16">
        <f>(G33*1000000) / (F33*1000000) - 1</f>
        <v>0.083</v>
      </c>
      <c r="H34" s="16">
        <f>(H33*1000000) / (G33*1000000) - 1</f>
        <v>0.048</v>
      </c>
      <c r="I34" s="16">
        <f>(I33*1000000) / (H33*1000000) - 1</f>
        <v>0.043</v>
      </c>
    </row>
    <row r="35" outlineLevel="1">
      <c r="A35" s="13" t="inlineStr">
        <is>
          <t xml:space="preserve">  Products Cost of Sales</t>
        </is>
      </c>
      <c r="B35" s="8" t="inlineStr">
        <is>
          <t>$m</t>
        </is>
      </c>
      <c r="C35" s="20" t="n">
        <v>-189282</v>
      </c>
      <c r="D35" s="20" t="n">
        <v>-185233</v>
      </c>
      <c r="E35" s="20" t="n">
        <v>-194116</v>
      </c>
      <c r="F35" s="22">
        <f>(((F31*1000000) * (F11 - 1))/1000000)</f>
        <v>-227379.9</v>
      </c>
      <c r="G35" s="22">
        <f>(((G31*1000000) * (G11 - 1))/1000000)</f>
        <v>-243256.2</v>
      </c>
      <c r="H35" s="22">
        <f>(((H31*1000000) * (H11 - 1))/1000000)</f>
        <v>-249553.2</v>
      </c>
      <c r="I35" s="22">
        <f>(((I31*1000000) * (I11 - 1))/1000000)</f>
        <v>-255510.3</v>
      </c>
    </row>
    <row r="36" outlineLevel="1">
      <c r="A36" s="13" t="inlineStr">
        <is>
          <t xml:space="preserve">  Services Cost of Sales</t>
        </is>
      </c>
      <c r="B36" s="8" t="inlineStr">
        <is>
          <t>$m</t>
        </is>
      </c>
      <c r="C36" s="20" t="n">
        <v>-24855</v>
      </c>
      <c r="D36" s="20" t="n">
        <v>-25119</v>
      </c>
      <c r="E36" s="20" t="n">
        <v>-26844</v>
      </c>
      <c r="F36" s="22">
        <f>(((F32*1000000) * (F12 - 1))/1000000)</f>
        <v>-30086.7</v>
      </c>
      <c r="G36" s="22">
        <f>(((G32*1000000) * (G12 - 1))/1000000)</f>
        <v>-32714.7</v>
      </c>
      <c r="H36" s="22">
        <f>(((H32*1000000) * (H12 - 1))/1000000)</f>
        <v>-35536.3</v>
      </c>
      <c r="I36" s="22">
        <f>(((I32*1000000) * (I12 - 1))/1000000)</f>
        <v>-38407.7</v>
      </c>
    </row>
    <row r="37">
      <c r="A37" s="7" t="inlineStr">
        <is>
          <t>Total Cost of Sales</t>
        </is>
      </c>
      <c r="B37" s="8" t="inlineStr">
        <is>
          <t>$m</t>
        </is>
      </c>
      <c r="C37" s="10">
        <f>(((C35*1000000) + (C36*1000000))/1000000)</f>
        <v>-214137</v>
      </c>
      <c r="D37" s="10">
        <f>(((D35*1000000) + (D36*1000000))/1000000)</f>
        <v>-210352</v>
      </c>
      <c r="E37" s="10">
        <f>(((E35*1000000) + (E36*1000000))/1000000)</f>
        <v>-220960</v>
      </c>
      <c r="F37" s="23">
        <f>(((F35*1000000) + (F36*1000000))/1000000)</f>
        <v>-257466.6</v>
      </c>
      <c r="G37" s="23">
        <f>(((G35*1000000) + (G36*1000000))/1000000)</f>
        <v>-275970.9</v>
      </c>
      <c r="H37" s="23">
        <f>(((H35*1000000) + (H36*1000000))/1000000)</f>
        <v>-285089.5</v>
      </c>
      <c r="I37" s="23">
        <f>(((I35*1000000) + (I36*1000000))/1000000)</f>
        <v>-293917.9</v>
      </c>
    </row>
    <row r="38" outlineLevel="1">
      <c r="A38" s="13" t="inlineStr">
        <is>
          <t xml:space="preserve">  Products Gross Profit</t>
        </is>
      </c>
      <c r="B38" s="8" t="inlineStr">
        <is>
          <t>$m</t>
        </is>
      </c>
      <c r="C38" s="20">
        <f>(((C31*1000000) + (C35*1000000))/1000000)</f>
        <v>108803</v>
      </c>
      <c r="D38" s="20">
        <f>(((D31*1000000) + (D35*1000000))/1000000)</f>
        <v>109633</v>
      </c>
      <c r="E38" s="20">
        <f>(((E31*1000000) + (E35*1000000))/1000000)</f>
        <v>112887</v>
      </c>
      <c r="F38" s="22">
        <f>(((F31*1000000) + (F35*1000000))/1000000)</f>
        <v>127901.2</v>
      </c>
      <c r="G38" s="22">
        <f>(((G31*1000000) + (G35*1000000))/1000000)</f>
        <v>138023.1</v>
      </c>
      <c r="H38" s="22">
        <f>(((H31*1000000) + (H35*1000000))/1000000)</f>
        <v>142826.1</v>
      </c>
      <c r="I38" s="22">
        <f>(((I31*1000000) + (I35*1000000))/1000000)</f>
        <v>146868.1</v>
      </c>
    </row>
    <row r="39">
      <c r="A39" s="7" t="inlineStr">
        <is>
          <t>Vendor Non-Trade Receivables / COGS</t>
        </is>
      </c>
      <c r="B39" s="8" t="inlineStr">
        <is>
          <t>%</t>
        </is>
      </c>
      <c r="C39" s="24">
        <f>(C64*1000000) / -(C37*1000000)</f>
        <v>0.147</v>
      </c>
      <c r="D39" s="24">
        <f>(D64*1000000) / -(D37*1000000)</f>
        <v>0.156</v>
      </c>
      <c r="E39" s="24">
        <f>(E64*1000000) / -(E37*1000000)</f>
        <v>0.15</v>
      </c>
      <c r="F39" s="25" t="n">
        <v>0.15</v>
      </c>
      <c r="G39" s="25" t="n">
        <v>0.15</v>
      </c>
      <c r="H39" s="25" t="n">
        <v>0.15</v>
      </c>
      <c r="I39" s="25" t="n">
        <v>0.15</v>
      </c>
    </row>
    <row r="40" outlineLevel="1">
      <c r="A40" s="13" t="inlineStr">
        <is>
          <t xml:space="preserve">  Services Gross Profit</t>
        </is>
      </c>
      <c r="B40" s="8" t="inlineStr">
        <is>
          <t>$m</t>
        </is>
      </c>
      <c r="C40" s="20">
        <f>(((C32*1000000) + (C36*1000000))/1000000)</f>
        <v>60345</v>
      </c>
      <c r="D40" s="20">
        <f>(((D32*1000000) + (D36*1000000))/1000000)</f>
        <v>71050</v>
      </c>
      <c r="E40" s="20">
        <f>(((E32*1000000) + (E36*1000000))/1000000)</f>
        <v>82314</v>
      </c>
      <c r="F40" s="22">
        <f>(((F32*1000000) + (F36*1000000))/1000000)</f>
        <v>92716.1</v>
      </c>
      <c r="G40" s="22">
        <f>(((G32*1000000) + (G36*1000000))/1000000)</f>
        <v>103596.4</v>
      </c>
      <c r="H40" s="22">
        <f>(((H32*1000000) + (H36*1000000))/1000000)</f>
        <v>114405.9</v>
      </c>
      <c r="I40" s="22">
        <f>(((I32*1000000) + (I36*1000000))/1000000)</f>
        <v>125029.3</v>
      </c>
    </row>
    <row r="41">
      <c r="A41" s="7" t="inlineStr">
        <is>
          <t>Gross Profit</t>
        </is>
      </c>
      <c r="B41" s="8" t="inlineStr">
        <is>
          <t>$m</t>
        </is>
      </c>
      <c r="C41" s="10">
        <f>(((C33*1000000) + (C37*1000000))/1000000)</f>
        <v>169148</v>
      </c>
      <c r="D41" s="10">
        <f>(((D33*1000000) + (D37*1000000))/1000000)</f>
        <v>180683</v>
      </c>
      <c r="E41" s="10">
        <f>(((E33*1000000) + (E37*1000000))/1000000)</f>
        <v>195201</v>
      </c>
      <c r="F41" s="23">
        <f>(((F33*1000000) + (F37*1000000))/1000000)</f>
        <v>220617.3</v>
      </c>
      <c r="G41" s="23">
        <f>(((G33*1000000) + (G37*1000000))/1000000)</f>
        <v>241619.5</v>
      </c>
      <c r="H41" s="23">
        <f>(((H33*1000000) + (H37*1000000))/1000000)</f>
        <v>257231.9</v>
      </c>
      <c r="I41" s="23">
        <f>(((I33*1000000) + (I37*1000000))/1000000)</f>
        <v>271897.4</v>
      </c>
    </row>
    <row r="42">
      <c r="A42" s="7" t="inlineStr">
        <is>
          <t>Other Current Assets / Revenue</t>
        </is>
      </c>
      <c r="B42" s="8" t="inlineStr">
        <is>
          <t>%</t>
        </is>
      </c>
      <c r="C42" s="24">
        <f>(C66*1000000) / (C33*1000000)</f>
        <v>0.038</v>
      </c>
      <c r="D42" s="24">
        <f>(D66*1000000) / (D33*1000000)</f>
        <v>0.037</v>
      </c>
      <c r="E42" s="24">
        <f>(E66*1000000) / (E33*1000000)</f>
        <v>0.035</v>
      </c>
      <c r="F42" s="25" t="n">
        <v>0.035</v>
      </c>
      <c r="G42" s="25" t="n">
        <v>0.035</v>
      </c>
      <c r="H42" s="25" t="n">
        <v>0.035</v>
      </c>
      <c r="I42" s="25" t="n">
        <v>0.035</v>
      </c>
    </row>
    <row r="43" outlineLevel="1">
      <c r="A43" s="13" t="inlineStr">
        <is>
          <t xml:space="preserve">  Gross Margin %</t>
        </is>
      </c>
      <c r="B43" s="8" t="inlineStr">
        <is>
          <t>%</t>
        </is>
      </c>
      <c r="C43" s="15">
        <f>(C41*1000000) / (C33*1000000)</f>
        <v>0.441</v>
      </c>
      <c r="D43" s="15">
        <f>(D41*1000000) / (D33*1000000)</f>
        <v>0.462</v>
      </c>
      <c r="E43" s="15">
        <f>(E41*1000000) / (E33*1000000)</f>
        <v>0.469</v>
      </c>
      <c r="F43" s="16">
        <f>(F41*1000000) / (F33*1000000)</f>
        <v>0.461</v>
      </c>
      <c r="G43" s="16">
        <f>(G41*1000000) / (G33*1000000)</f>
        <v>0.467</v>
      </c>
      <c r="H43" s="16">
        <f>(H41*1000000) / (H33*1000000)</f>
        <v>0.474</v>
      </c>
      <c r="I43" s="16">
        <f>(I41*1000000) / (I33*1000000)</f>
        <v>0.481</v>
      </c>
    </row>
    <row r="44" outlineLevel="1">
      <c r="A44" s="13" t="inlineStr">
        <is>
          <t xml:space="preserve">  Research and Development</t>
        </is>
      </c>
      <c r="B44" s="8" t="inlineStr">
        <is>
          <t>$m</t>
        </is>
      </c>
      <c r="C44" s="20" t="n">
        <v>-29915</v>
      </c>
      <c r="D44" s="20" t="n">
        <v>-31370</v>
      </c>
      <c r="E44" s="20" t="n">
        <v>-34550</v>
      </c>
      <c r="F44" s="22">
        <f>(((E44*1000000) * (1 + F13))/1000000)</f>
        <v>-38696</v>
      </c>
      <c r="G44" s="22">
        <f>(((F44*1000000) * (1 + G13))/1000000)</f>
        <v>-43726.5</v>
      </c>
      <c r="H44" s="22">
        <f>(((G44*1000000) * (1 + H13))/1000000)</f>
        <v>-48099.1</v>
      </c>
      <c r="I44" s="22">
        <f>(((H44*1000000) * (1 + I13))/1000000)</f>
        <v>-52428</v>
      </c>
    </row>
    <row r="45" outlineLevel="1">
      <c r="A45" s="13" t="inlineStr">
        <is>
          <t xml:space="preserve">  Selling, General and Administrative</t>
        </is>
      </c>
      <c r="B45" s="8" t="inlineStr">
        <is>
          <t>$m</t>
        </is>
      </c>
      <c r="C45" s="20" t="n">
        <v>-24932</v>
      </c>
      <c r="D45" s="20" t="n">
        <v>-26097</v>
      </c>
      <c r="E45" s="20" t="n">
        <v>-27601</v>
      </c>
      <c r="F45" s="22">
        <f>(((E45*1000000) * (1 + F14))/1000000)</f>
        <v>-29533.1</v>
      </c>
      <c r="G45" s="22">
        <f>(((F45*1000000) * (1 + G14))/1000000)</f>
        <v>-31305.1</v>
      </c>
      <c r="H45" s="22">
        <f>(((G45*1000000) * (1 + H14))/1000000)</f>
        <v>-32870.3</v>
      </c>
      <c r="I45" s="22">
        <f>(((H45*1000000) * (1 + I14))/1000000)</f>
        <v>-34513.8</v>
      </c>
    </row>
    <row r="46">
      <c r="A46" s="7" t="inlineStr">
        <is>
          <t>Total Operating Expenses</t>
        </is>
      </c>
      <c r="B46" s="8" t="inlineStr">
        <is>
          <t>$m</t>
        </is>
      </c>
      <c r="C46" s="10">
        <f>(((C44*1000000) + (C45*1000000))/1000000)</f>
        <v>-54847</v>
      </c>
      <c r="D46" s="10">
        <f>(((D44*1000000) + (D45*1000000))/1000000)</f>
        <v>-57467</v>
      </c>
      <c r="E46" s="10">
        <f>(((E44*1000000) + (E45*1000000))/1000000)</f>
        <v>-62151</v>
      </c>
      <c r="F46" s="23">
        <f>(((F44*1000000) + (F45*1000000))/1000000)</f>
        <v>-68229.1</v>
      </c>
      <c r="G46" s="23">
        <f>(((G44*1000000) + (G45*1000000))/1000000)</f>
        <v>-75031.5</v>
      </c>
      <c r="H46" s="23">
        <f>(((H44*1000000) + (H45*1000000))/1000000)</f>
        <v>-80969.4</v>
      </c>
      <c r="I46" s="23">
        <f>(((I44*1000000) + (I45*1000000))/1000000)</f>
        <v>-86941.9</v>
      </c>
    </row>
    <row r="47">
      <c r="A47" s="7" t="inlineStr">
        <is>
          <t>Operating Income</t>
        </is>
      </c>
      <c r="B47" s="8" t="inlineStr">
        <is>
          <t>$m</t>
        </is>
      </c>
      <c r="C47" s="10">
        <f>(((C41*1000000) + (C46*1000000))/1000000)</f>
        <v>114301</v>
      </c>
      <c r="D47" s="10">
        <f>(((D41*1000000) + (D46*1000000))/1000000)</f>
        <v>123216</v>
      </c>
      <c r="E47" s="10">
        <f>(((E41*1000000) + (E46*1000000))/1000000)</f>
        <v>133050</v>
      </c>
      <c r="F47" s="23">
        <f>(((F41*1000000) + (F46*1000000))/1000000)</f>
        <v>152388.2</v>
      </c>
      <c r="G47" s="23">
        <f>(((G41*1000000) + (G46*1000000))/1000000)</f>
        <v>166588</v>
      </c>
      <c r="H47" s="23">
        <f>(((H41*1000000) + (H46*1000000))/1000000)</f>
        <v>176262.5</v>
      </c>
      <c r="I47" s="23">
        <f>(((I41*1000000) + (I46*1000000))/1000000)</f>
        <v>184955.5</v>
      </c>
    </row>
    <row r="48">
      <c r="A48" s="7" t="inlineStr">
        <is>
          <t>Other Non-Current Assets / Revenue</t>
        </is>
      </c>
      <c r="B48" s="8" t="inlineStr">
        <is>
          <t>%</t>
        </is>
      </c>
      <c r="C48" s="24">
        <f>(C70*1000000) / (C33*1000000)</f>
        <v>0.169</v>
      </c>
      <c r="D48" s="24">
        <f>(D70*1000000) / (D33*1000000)</f>
        <v>0.191</v>
      </c>
      <c r="E48" s="24">
        <f>(E70*1000000) / (E33*1000000)</f>
        <v>0.201</v>
      </c>
      <c r="F48" s="25" t="n">
        <v>0.2</v>
      </c>
      <c r="G48" s="25" t="n">
        <v>0.195</v>
      </c>
      <c r="H48" s="25" t="n">
        <v>0.19</v>
      </c>
      <c r="I48" s="25" t="n">
        <v>0.185</v>
      </c>
    </row>
    <row r="49" outlineLevel="1">
      <c r="A49" s="13" t="inlineStr">
        <is>
          <t xml:space="preserve">  Other Income / (Expense), Net</t>
        </is>
      </c>
      <c r="B49" s="8" t="inlineStr">
        <is>
          <t>$m</t>
        </is>
      </c>
      <c r="C49" s="20" t="n">
        <v>-565</v>
      </c>
      <c r="D49" s="20" t="n">
        <v>269</v>
      </c>
      <c r="E49" s="20" t="n">
        <v>-321</v>
      </c>
      <c r="F49" s="21" t="n">
        <v>-500</v>
      </c>
      <c r="G49" s="21" t="n">
        <v>-600</v>
      </c>
      <c r="H49" s="21" t="n">
        <v>-600</v>
      </c>
      <c r="I49" s="21" t="n">
        <v>-600</v>
      </c>
    </row>
    <row r="50">
      <c r="A50" s="7" t="inlineStr">
        <is>
          <t>Other Current Liabilities / Revenue</t>
        </is>
      </c>
      <c r="B50" s="8" t="inlineStr">
        <is>
          <t>%</t>
        </is>
      </c>
      <c r="C50" s="24">
        <f>(C74*1000000) / (C33*1000000)</f>
        <v>0.153</v>
      </c>
      <c r="D50" s="24">
        <f>(D74*1000000) / (D33*1000000)</f>
        <v>0.2</v>
      </c>
      <c r="E50" s="24">
        <f>(E74*1000000) / (E33*1000000)</f>
        <v>0.16</v>
      </c>
      <c r="F50" s="25" t="n">
        <v>0.15</v>
      </c>
      <c r="G50" s="25" t="n">
        <v>0.15</v>
      </c>
      <c r="H50" s="25" t="n">
        <v>0.15</v>
      </c>
      <c r="I50" s="25" t="n">
        <v>0.15</v>
      </c>
    </row>
    <row r="51">
      <c r="A51" s="7" t="inlineStr">
        <is>
          <t>Income Before Taxes</t>
        </is>
      </c>
      <c r="B51" s="8" t="inlineStr">
        <is>
          <t>$m</t>
        </is>
      </c>
      <c r="C51" s="10">
        <f>(((C47*1000000) + (C49*1000000))/1000000)</f>
        <v>113736</v>
      </c>
      <c r="D51" s="10">
        <f>(((D47*1000000) + (D49*1000000))/1000000)</f>
        <v>123485</v>
      </c>
      <c r="E51" s="10">
        <f>(((E47*1000000) + (E49*1000000))/1000000)</f>
        <v>132729</v>
      </c>
      <c r="F51" s="23">
        <f>(((F47*1000000) + (F49*1000000))/1000000)</f>
        <v>151888.2</v>
      </c>
      <c r="G51" s="23">
        <f>(((G47*1000000) + (G49*1000000))/1000000)</f>
        <v>165988</v>
      </c>
      <c r="H51" s="23">
        <f>(((H47*1000000) + (H49*1000000))/1000000)</f>
        <v>175662.5</v>
      </c>
      <c r="I51" s="23">
        <f>(((I47*1000000) + (I49*1000000))/1000000)</f>
        <v>184355.5</v>
      </c>
    </row>
    <row r="52">
      <c r="A52" s="7" t="inlineStr">
        <is>
          <t>Deferred Revenue / Services Revenue</t>
        </is>
      </c>
      <c r="B52" s="8" t="inlineStr">
        <is>
          <t>%</t>
        </is>
      </c>
      <c r="C52" s="24">
        <f>(C75*1000000) / (C32*1000000)</f>
        <v>0.095</v>
      </c>
      <c r="D52" s="24">
        <f>(D75*1000000) / (D32*1000000)</f>
        <v>0.086</v>
      </c>
      <c r="E52" s="24">
        <f>(E75*1000000) / (E32*1000000)</f>
        <v>0.083</v>
      </c>
      <c r="F52" s="25" t="n">
        <v>0.08</v>
      </c>
      <c r="G52" s="25" t="n">
        <v>0.08</v>
      </c>
      <c r="H52" s="25" t="n">
        <v>0.08</v>
      </c>
      <c r="I52" s="25" t="n">
        <v>0.08</v>
      </c>
    </row>
    <row r="53" outlineLevel="1">
      <c r="A53" s="13" t="inlineStr">
        <is>
          <t xml:space="preserve">  Provision for Income Taxes</t>
        </is>
      </c>
      <c r="B53" s="8" t="inlineStr">
        <is>
          <t>$m</t>
        </is>
      </c>
      <c r="C53" s="20" t="n">
        <v>-16741</v>
      </c>
      <c r="D53" s="20" t="n">
        <v>-29749</v>
      </c>
      <c r="E53" s="20" t="n">
        <v>-20719</v>
      </c>
      <c r="F53" s="22">
        <f>((-(F51*1000000) * F15)/1000000)</f>
        <v>-24302.1</v>
      </c>
      <c r="G53" s="22">
        <f>((-(G51*1000000) * G15)/1000000)</f>
        <v>-27388</v>
      </c>
      <c r="H53" s="22">
        <f>((-(H51*1000000) * H15)/1000000)</f>
        <v>-28984.3</v>
      </c>
      <c r="I53" s="22">
        <f>((-(I51*1000000) * I15)/1000000)</f>
        <v>-30418.7</v>
      </c>
    </row>
    <row r="54">
      <c r="A54" s="7" t="inlineStr">
        <is>
          <t>Net Income</t>
        </is>
      </c>
      <c r="B54" s="8" t="inlineStr">
        <is>
          <t>$m</t>
        </is>
      </c>
      <c r="C54" s="10">
        <f>(((C51*1000000) + (C53*1000000))/1000000)</f>
        <v>96995</v>
      </c>
      <c r="D54" s="10">
        <f>(((D51*1000000) + (D53*1000000))/1000000)</f>
        <v>93736</v>
      </c>
      <c r="E54" s="10">
        <f>(((E51*1000000) + (E53*1000000))/1000000)</f>
        <v>112010</v>
      </c>
      <c r="F54" s="23">
        <f>(((F51*1000000) + (F53*1000000))/1000000)</f>
        <v>127586.1</v>
      </c>
      <c r="G54" s="23">
        <f>(((G51*1000000) + (G53*1000000))/1000000)</f>
        <v>138600</v>
      </c>
      <c r="H54" s="23">
        <f>(((H51*1000000) + (H53*1000000))/1000000)</f>
        <v>146678.2</v>
      </c>
      <c r="I54" s="23">
        <f>(((I51*1000000) + (I53*1000000))/1000000)</f>
        <v>153936.8</v>
      </c>
    </row>
    <row r="55">
      <c r="A55" s="7" t="inlineStr">
        <is>
          <t>Other Non-Current Liabilities / Revenue</t>
        </is>
      </c>
      <c r="B55" s="8" t="inlineStr">
        <is>
          <t>%</t>
        </is>
      </c>
      <c r="C55" s="24">
        <f>(C80*1000000) / (C33*1000000)</f>
        <v>0.13</v>
      </c>
      <c r="D55" s="24">
        <f>(D80*1000000) / (D33*1000000)</f>
        <v>0.117</v>
      </c>
      <c r="E55" s="24">
        <f>(E80*1000000) / (E33*1000000)</f>
        <v>0.1</v>
      </c>
      <c r="F55" s="25" t="n">
        <v>0.095</v>
      </c>
      <c r="G55" s="25" t="n">
        <v>0.09</v>
      </c>
      <c r="H55" s="25" t="n">
        <v>0.08500000000000001</v>
      </c>
      <c r="I55" s="25" t="n">
        <v>0.08</v>
      </c>
    </row>
    <row r="56" outlineLevel="1">
      <c r="A56" s="13" t="inlineStr">
        <is>
          <t xml:space="preserve">  Diluted Shares Outstanding</t>
        </is>
      </c>
      <c r="B56" s="8" t="inlineStr">
        <is>
          <t>#m</t>
        </is>
      </c>
      <c r="C56" s="20" t="n">
        <v>15812.5</v>
      </c>
      <c r="D56" s="20" t="n">
        <v>15408.1</v>
      </c>
      <c r="E56" s="20" t="n">
        <v>15004.7</v>
      </c>
      <c r="F56" s="22">
        <f>(((E56*1000000) * (1 - F16))/1000000)</f>
        <v>14629.6</v>
      </c>
      <c r="G56" s="22">
        <f>(((F56*1000000) * (1 - G16))/1000000)</f>
        <v>14263.8</v>
      </c>
      <c r="H56" s="22">
        <f>(((G56*1000000) * (1 - H16))/1000000)</f>
        <v>13907.2</v>
      </c>
      <c r="I56" s="22">
        <f>(((H56*1000000) * (1 - I16))/1000000)</f>
        <v>13559.6</v>
      </c>
    </row>
    <row r="57">
      <c r="A57" s="7" t="inlineStr">
        <is>
          <t>Diluted EPS</t>
        </is>
      </c>
      <c r="B57" s="8" t="inlineStr">
        <is>
          <t>$</t>
        </is>
      </c>
      <c r="C57" s="26">
        <f>(C92*1000000) / (C56*1000000)</f>
        <v>6.13</v>
      </c>
      <c r="D57" s="26">
        <f>(D92*1000000) / (D56*1000000)</f>
        <v>6.08</v>
      </c>
      <c r="E57" s="26">
        <f>(E92*1000000) / (E56*1000000)</f>
        <v>7.46</v>
      </c>
      <c r="F57" s="27">
        <f>(F92*1000000) / (F56*1000000)</f>
        <v>8.72</v>
      </c>
      <c r="G57" s="27">
        <f>(G92*1000000) / (G56*1000000)</f>
        <v>9.72</v>
      </c>
      <c r="H57" s="27">
        <f>(H92*1000000) / (H56*1000000)</f>
        <v>10.55</v>
      </c>
      <c r="I57" s="27">
        <f>(I92*1000000) / (I56*1000000)</f>
        <v>11.35</v>
      </c>
    </row>
    <row r="58" outlineLevel="1">
      <c r="A58" s="13" t="inlineStr">
        <is>
          <t xml:space="preserve">  Revenue vs Consensus</t>
        </is>
      </c>
      <c r="B58" s="8" t="inlineStr">
        <is>
          <t>%</t>
        </is>
      </c>
      <c r="C58" s="14" t="n"/>
      <c r="D58" s="14" t="n"/>
      <c r="E58" s="15">
        <f>(E33*1000000) / (E4*1000000) - 1</f>
        <v>0.001</v>
      </c>
      <c r="F58" s="16">
        <f>(F33*1000000) / (F4*1000000) - 1</f>
        <v>0</v>
      </c>
      <c r="G58" s="16">
        <f>(G33*1000000) / (G4*1000000) - 1</f>
        <v>0</v>
      </c>
      <c r="H58" s="28" t="n"/>
      <c r="I58" s="28" t="n"/>
    </row>
    <row r="59" outlineLevel="1">
      <c r="A59" s="13" t="inlineStr">
        <is>
          <t xml:space="preserve">  Diluted EPS vs Consensus</t>
        </is>
      </c>
      <c r="B59" s="8" t="inlineStr">
        <is>
          <t>%</t>
        </is>
      </c>
      <c r="C59" s="14" t="n"/>
      <c r="D59" s="14" t="n"/>
      <c r="E59" s="15">
        <f>E57 / E5 - 1</f>
        <v>0.011</v>
      </c>
      <c r="F59" s="16">
        <f>F57 / F5 - 1</f>
        <v>-0.004</v>
      </c>
      <c r="G59" s="16">
        <f>G57 / G5 - 1</f>
        <v>0.007</v>
      </c>
      <c r="H59" s="28" t="n"/>
      <c r="I59" s="28" t="n"/>
    </row>
    <row r="60">
      <c r="A60" s="5" t="inlineStr">
        <is>
          <t>Balance Sheet</t>
        </is>
      </c>
      <c r="B60" s="6" t="n"/>
      <c r="C60" s="6" t="n"/>
      <c r="D60" s="6" t="n"/>
      <c r="E60" s="6" t="n"/>
      <c r="F60" s="6" t="n"/>
      <c r="G60" s="6" t="n"/>
      <c r="H60" s="6" t="n"/>
      <c r="I60" s="6" t="n"/>
    </row>
    <row r="61" outlineLevel="1">
      <c r="A61" s="13" t="inlineStr">
        <is>
          <t xml:space="preserve">  Cash and Cash Equivalents</t>
        </is>
      </c>
      <c r="B61" s="8" t="inlineStr">
        <is>
          <t>$m</t>
        </is>
      </c>
      <c r="C61" s="20" t="n">
        <v>29965</v>
      </c>
      <c r="D61" s="20" t="n">
        <v>29943</v>
      </c>
      <c r="E61" s="20" t="n">
        <v>35934</v>
      </c>
      <c r="F61" s="22">
        <f>(((E61*1000000) + (F114*1000000))/1000000)</f>
        <v>54339.2</v>
      </c>
      <c r="G61" s="22">
        <f>(((F61*1000000) + (G114*1000000))/1000000)</f>
        <v>94632.2</v>
      </c>
      <c r="H61" s="22">
        <f>(((G61*1000000) + (H114*1000000))/1000000)</f>
        <v>152485</v>
      </c>
      <c r="I61" s="22">
        <f>(((H61*1000000) + (I114*1000000))/1000000)</f>
        <v>224006.1</v>
      </c>
    </row>
    <row r="62" outlineLevel="1">
      <c r="A62" s="13" t="inlineStr">
        <is>
          <t xml:space="preserve">  Marketable Securities - Current</t>
        </is>
      </c>
      <c r="B62" s="8" t="inlineStr">
        <is>
          <t>$m</t>
        </is>
      </c>
      <c r="C62" s="20" t="n">
        <v>31590</v>
      </c>
      <c r="D62" s="20" t="n">
        <v>35228</v>
      </c>
      <c r="E62" s="20" t="n">
        <v>18763</v>
      </c>
      <c r="F62" s="22">
        <f>(((F33*1000000) * F22)/1000000)</f>
        <v>19123.4</v>
      </c>
      <c r="G62" s="22">
        <f>(((G33*1000000) * G22)/1000000)</f>
        <v>19668.4</v>
      </c>
      <c r="H62" s="22">
        <f>(((H33*1000000) * H22)/1000000)</f>
        <v>18981.3</v>
      </c>
      <c r="I62" s="22">
        <f>(((I33*1000000) * I22)/1000000)</f>
        <v>18106.1</v>
      </c>
    </row>
    <row r="63" outlineLevel="1">
      <c r="A63" s="13" t="inlineStr">
        <is>
          <t xml:space="preserve">  Accounts Receivable, Net</t>
        </is>
      </c>
      <c r="B63" s="8" t="inlineStr">
        <is>
          <t>$m</t>
        </is>
      </c>
      <c r="C63" s="20" t="n">
        <v>29508</v>
      </c>
      <c r="D63" s="20" t="n">
        <v>33410</v>
      </c>
      <c r="E63" s="20" t="n">
        <v>39777</v>
      </c>
      <c r="F63" s="22">
        <f>(((F33*1000000) * F18 / 365)/1000000)</f>
        <v>43878.9</v>
      </c>
      <c r="G63" s="22">
        <f>(((G33*1000000) * G18 / 365)/1000000)</f>
        <v>46795.8</v>
      </c>
      <c r="H63" s="22">
        <f>(((H33*1000000) * H18 / 365)/1000000)</f>
        <v>49031.8</v>
      </c>
      <c r="I63" s="22">
        <f>(((I33*1000000) * I18 / 365)/1000000)</f>
        <v>51155.9</v>
      </c>
    </row>
    <row r="64" outlineLevel="1">
      <c r="A64" s="13" t="inlineStr">
        <is>
          <t xml:space="preserve">  Vendor Non-Trade Receivables</t>
        </is>
      </c>
      <c r="B64" s="8" t="inlineStr">
        <is>
          <t>$m</t>
        </is>
      </c>
      <c r="C64" s="20" t="n">
        <v>31477</v>
      </c>
      <c r="D64" s="20" t="n">
        <v>32833</v>
      </c>
      <c r="E64" s="20" t="n">
        <v>33180</v>
      </c>
      <c r="F64" s="22">
        <f>((-(F37*1000000) * F39)/1000000)</f>
        <v>38620</v>
      </c>
      <c r="G64" s="22">
        <f>((-(G37*1000000) * G39)/1000000)</f>
        <v>41395.6</v>
      </c>
      <c r="H64" s="22">
        <f>((-(H37*1000000) * H39)/1000000)</f>
        <v>42763.4</v>
      </c>
      <c r="I64" s="22">
        <f>((-(I37*1000000) * I39)/1000000)</f>
        <v>44087.7</v>
      </c>
    </row>
    <row r="65" outlineLevel="1">
      <c r="A65" s="13" t="inlineStr">
        <is>
          <t xml:space="preserve">  Inventories</t>
        </is>
      </c>
      <c r="B65" s="8" t="inlineStr">
        <is>
          <t>$m</t>
        </is>
      </c>
      <c r="C65" s="20" t="n">
        <v>6331</v>
      </c>
      <c r="D65" s="20" t="n">
        <v>7286</v>
      </c>
      <c r="E65" s="20" t="n">
        <v>5718</v>
      </c>
      <c r="F65" s="22">
        <f>((-(F37*1000000) * F19 / 365)/1000000)</f>
        <v>7053.9</v>
      </c>
      <c r="G65" s="22">
        <f>((-(G37*1000000) * G19 / 365)/1000000)</f>
        <v>7560.8</v>
      </c>
      <c r="H65" s="22">
        <f>((-(H37*1000000) * H19 / 365)/1000000)</f>
        <v>7810.7</v>
      </c>
      <c r="I65" s="22">
        <f>((-(I37*1000000) * I19 / 365)/1000000)</f>
        <v>8052.5</v>
      </c>
    </row>
    <row r="66" outlineLevel="1">
      <c r="A66" s="13" t="inlineStr">
        <is>
          <t xml:space="preserve">  Other Current Assets</t>
        </is>
      </c>
      <c r="B66" s="8" t="inlineStr">
        <is>
          <t>$m</t>
        </is>
      </c>
      <c r="C66" s="20" t="n">
        <v>14695</v>
      </c>
      <c r="D66" s="20" t="n">
        <v>14287</v>
      </c>
      <c r="E66" s="20" t="n">
        <v>14585</v>
      </c>
      <c r="F66" s="22">
        <f>(((F33*1000000) * F42)/1000000)</f>
        <v>16732.9</v>
      </c>
      <c r="G66" s="22">
        <f>(((G33*1000000) * G42)/1000000)</f>
        <v>18115.7</v>
      </c>
      <c r="H66" s="22">
        <f>(((H33*1000000) * H42)/1000000)</f>
        <v>18981.3</v>
      </c>
      <c r="I66" s="22">
        <f>(((I33*1000000) * I42)/1000000)</f>
        <v>19803.5</v>
      </c>
    </row>
    <row r="67">
      <c r="A67" s="7" t="inlineStr">
        <is>
          <t>Total Current Assets</t>
        </is>
      </c>
      <c r="B67" s="8" t="inlineStr">
        <is>
          <t>$m</t>
        </is>
      </c>
      <c r="C67" s="10">
        <f>(((C61*1000000) + (C62*1000000) + (C63*1000000) + (C64*1000000) + (C65*1000000) + (C66*1000000))/1000000)</f>
        <v>143566</v>
      </c>
      <c r="D67" s="10">
        <f>(((D61*1000000) + (D62*1000000) + (D63*1000000) + (D64*1000000) + (D65*1000000) + (D66*1000000))/1000000)</f>
        <v>152987</v>
      </c>
      <c r="E67" s="10">
        <f>(((E61*1000000) + (E62*1000000) + (E63*1000000) + (E64*1000000) + (E65*1000000) + (E66*1000000))/1000000)</f>
        <v>147957</v>
      </c>
      <c r="F67" s="23">
        <f>(((F61*1000000) + (F62*1000000) + (F63*1000000) + (F64*1000000) + (F65*1000000) + (F66*1000000))/1000000)</f>
        <v>179748.3</v>
      </c>
      <c r="G67" s="23">
        <f>(((G61*1000000) + (G62*1000000) + (G63*1000000) + (G64*1000000) + (G65*1000000) + (G66*1000000))/1000000)</f>
        <v>228168.7</v>
      </c>
      <c r="H67" s="23">
        <f>(((H61*1000000) + (H62*1000000) + (H63*1000000) + (H64*1000000) + (H65*1000000) + (H66*1000000))/1000000)</f>
        <v>290053.4</v>
      </c>
      <c r="I67" s="23">
        <f>(((I61*1000000) + (I62*1000000) + (I63*1000000) + (I64*1000000) + (I65*1000000) + (I66*1000000))/1000000)</f>
        <v>365211.8</v>
      </c>
    </row>
    <row r="68" outlineLevel="1">
      <c r="A68" s="13" t="inlineStr">
        <is>
          <t xml:space="preserve">  Marketable Securities - Non-Current</t>
        </is>
      </c>
      <c r="B68" s="8" t="inlineStr">
        <is>
          <t>$m</t>
        </is>
      </c>
      <c r="C68" s="20" t="n">
        <v>100544</v>
      </c>
      <c r="D68" s="20" t="n">
        <v>91479</v>
      </c>
      <c r="E68" s="20" t="n">
        <v>77723</v>
      </c>
      <c r="F68" s="22">
        <f>(((F33*1000000) * F23)/1000000)</f>
        <v>76493.4</v>
      </c>
      <c r="G68" s="22">
        <f>(((G33*1000000) * G23)/1000000)</f>
        <v>72462.7</v>
      </c>
      <c r="H68" s="22">
        <f>(((H33*1000000) * H23)/1000000)</f>
        <v>65078.6</v>
      </c>
      <c r="I68" s="22">
        <f>(((I33*1000000) * I23)/1000000)</f>
        <v>56581.5</v>
      </c>
    </row>
    <row r="69" outlineLevel="1">
      <c r="A69" s="13" t="inlineStr">
        <is>
          <t xml:space="preserve">  Property, Plant and Equipment, Net</t>
        </is>
      </c>
      <c r="B69" s="8" t="inlineStr">
        <is>
          <t>$m</t>
        </is>
      </c>
      <c r="C69" s="20" t="n">
        <v>43715</v>
      </c>
      <c r="D69" s="20" t="n">
        <v>45680</v>
      </c>
      <c r="E69" s="20" t="n">
        <v>49834</v>
      </c>
      <c r="F69" s="22">
        <f>(((E69*1000000) - (F105*1000000) - (F93*1000000))/1000000)</f>
        <v>52224.4</v>
      </c>
      <c r="G69" s="22">
        <f>(((F69*1000000) - (G105*1000000) - (G93*1000000))/1000000)</f>
        <v>54812.4</v>
      </c>
      <c r="H69" s="22">
        <f>(((G69*1000000) - (H105*1000000) - (H93*1000000))/1000000)</f>
        <v>56981.7</v>
      </c>
      <c r="I69" s="22">
        <f>(((H69*1000000) - (I105*1000000) - (I93*1000000))/1000000)</f>
        <v>59244.9</v>
      </c>
    </row>
    <row r="70" outlineLevel="1">
      <c r="A70" s="13" t="inlineStr">
        <is>
          <t xml:space="preserve">  Other Non-Current Assets</t>
        </is>
      </c>
      <c r="B70" s="8" t="inlineStr">
        <is>
          <t>$m</t>
        </is>
      </c>
      <c r="C70" s="20" t="n">
        <v>64758</v>
      </c>
      <c r="D70" s="20" t="n">
        <v>74834</v>
      </c>
      <c r="E70" s="20" t="n">
        <v>83727</v>
      </c>
      <c r="F70" s="22">
        <f>(((F33*1000000) * F48)/1000000)</f>
        <v>95616.8</v>
      </c>
      <c r="G70" s="22">
        <f>(((G33*1000000) * G48)/1000000)</f>
        <v>100930.1</v>
      </c>
      <c r="H70" s="22">
        <f>(((H33*1000000) * H48)/1000000)</f>
        <v>103041.1</v>
      </c>
      <c r="I70" s="22">
        <f>(((I33*1000000) * I48)/1000000)</f>
        <v>104675.8</v>
      </c>
    </row>
    <row r="71">
      <c r="A71" s="7" t="inlineStr">
        <is>
          <t>Total Non-Current Assets</t>
        </is>
      </c>
      <c r="B71" s="8" t="inlineStr">
        <is>
          <t>$m</t>
        </is>
      </c>
      <c r="C71" s="10">
        <f>(((C68*1000000) + (C69*1000000) + (C70*1000000))/1000000)</f>
        <v>209017</v>
      </c>
      <c r="D71" s="10">
        <f>(((D68*1000000) + (D69*1000000) + (D70*1000000))/1000000)</f>
        <v>211993</v>
      </c>
      <c r="E71" s="10">
        <f>(((E68*1000000) + (E69*1000000) + (E70*1000000))/1000000)</f>
        <v>211284</v>
      </c>
      <c r="F71" s="23">
        <f>(((F68*1000000) + (F69*1000000) + (F70*1000000))/1000000)</f>
        <v>224334.6</v>
      </c>
      <c r="G71" s="23">
        <f>(((G68*1000000) + (G69*1000000) + (G70*1000000))/1000000)</f>
        <v>228205.2</v>
      </c>
      <c r="H71" s="23">
        <f>(((H68*1000000) + (H69*1000000) + (H70*1000000))/1000000)</f>
        <v>225101.3</v>
      </c>
      <c r="I71" s="23">
        <f>(((I68*1000000) + (I69*1000000) + (I70*1000000))/1000000)</f>
        <v>220502.3</v>
      </c>
    </row>
    <row r="72">
      <c r="A72" s="7" t="inlineStr">
        <is>
          <t>Total Assets</t>
        </is>
      </c>
      <c r="B72" s="8" t="inlineStr">
        <is>
          <t>$m</t>
        </is>
      </c>
      <c r="C72" s="10">
        <f>(((C67*1000000) + (C71*1000000))/1000000)</f>
        <v>352583</v>
      </c>
      <c r="D72" s="10">
        <f>(((D67*1000000) + (D71*1000000))/1000000)</f>
        <v>364980</v>
      </c>
      <c r="E72" s="10">
        <f>(((E67*1000000) + (E71*1000000))/1000000)</f>
        <v>359241</v>
      </c>
      <c r="F72" s="23">
        <f>(((F67*1000000) + (F71*1000000))/1000000)</f>
        <v>404082.9</v>
      </c>
      <c r="G72" s="23">
        <f>(((G67*1000000) + (G71*1000000))/1000000)</f>
        <v>456373.8</v>
      </c>
      <c r="H72" s="23">
        <f>(((H67*1000000) + (H71*1000000))/1000000)</f>
        <v>515154.7</v>
      </c>
      <c r="I72" s="23">
        <f>(((I67*1000000) + (I71*1000000))/1000000)</f>
        <v>585714.1</v>
      </c>
    </row>
    <row r="73" outlineLevel="1">
      <c r="A73" s="13" t="inlineStr">
        <is>
          <t xml:space="preserve">  Accounts Payable</t>
        </is>
      </c>
      <c r="B73" s="8" t="inlineStr">
        <is>
          <t>$m</t>
        </is>
      </c>
      <c r="C73" s="20" t="n">
        <v>62611</v>
      </c>
      <c r="D73" s="20" t="n">
        <v>68960</v>
      </c>
      <c r="E73" s="20" t="n">
        <v>69860</v>
      </c>
      <c r="F73" s="22">
        <f>((-(F37*1000000) * F20 / 365)/1000000)</f>
        <v>79003.4</v>
      </c>
      <c r="G73" s="22">
        <f>((-(G37*1000000) * G20 / 365)/1000000)</f>
        <v>84681.5</v>
      </c>
      <c r="H73" s="22">
        <f>((-(H37*1000000) * H20 / 365)/1000000)</f>
        <v>87479.5</v>
      </c>
      <c r="I73" s="22">
        <f>((-(I37*1000000) * I20 / 365)/1000000)</f>
        <v>90188.5</v>
      </c>
    </row>
    <row r="74" outlineLevel="1">
      <c r="A74" s="13" t="inlineStr">
        <is>
          <t xml:space="preserve">  Other Current Liabilities</t>
        </is>
      </c>
      <c r="B74" s="8" t="inlineStr">
        <is>
          <t>$m</t>
        </is>
      </c>
      <c r="C74" s="20" t="n">
        <v>58829</v>
      </c>
      <c r="D74" s="20" t="n">
        <v>78304</v>
      </c>
      <c r="E74" s="20" t="n">
        <v>66387</v>
      </c>
      <c r="F74" s="22">
        <f>(((F33*1000000) * F50)/1000000)</f>
        <v>71712.6</v>
      </c>
      <c r="G74" s="22">
        <f>(((G33*1000000) * G50)/1000000)</f>
        <v>77638.6</v>
      </c>
      <c r="H74" s="22">
        <f>(((H33*1000000) * H50)/1000000)</f>
        <v>81348.2</v>
      </c>
      <c r="I74" s="22">
        <f>(((I33*1000000) * I50)/1000000)</f>
        <v>84872.3</v>
      </c>
    </row>
    <row r="75" outlineLevel="1">
      <c r="A75" s="13" t="inlineStr">
        <is>
          <t xml:space="preserve">  Deferred Revenue</t>
        </is>
      </c>
      <c r="B75" s="8" t="inlineStr">
        <is>
          <t>$m</t>
        </is>
      </c>
      <c r="C75" s="20" t="n">
        <v>8061</v>
      </c>
      <c r="D75" s="20" t="n">
        <v>8249</v>
      </c>
      <c r="E75" s="20" t="n">
        <v>9055</v>
      </c>
      <c r="F75" s="22">
        <f>(((F32*1000000) * F52)/1000000)</f>
        <v>9824.2</v>
      </c>
      <c r="G75" s="22">
        <f>(((G32*1000000) * G52)/1000000)</f>
        <v>10904.9</v>
      </c>
      <c r="H75" s="22">
        <f>(((H32*1000000) * H52)/1000000)</f>
        <v>11995.4</v>
      </c>
      <c r="I75" s="22">
        <f>(((I32*1000000) * I52)/1000000)</f>
        <v>13075</v>
      </c>
    </row>
    <row r="76" outlineLevel="1">
      <c r="A76" s="13" t="inlineStr">
        <is>
          <t xml:space="preserve">  Commercial Paper</t>
        </is>
      </c>
      <c r="B76" s="8" t="inlineStr">
        <is>
          <t>$m</t>
        </is>
      </c>
      <c r="C76" s="20" t="n">
        <v>5985</v>
      </c>
      <c r="D76" s="20" t="n">
        <v>9967</v>
      </c>
      <c r="E76" s="20" t="n">
        <v>7979</v>
      </c>
      <c r="F76" s="21" t="n">
        <v>8000</v>
      </c>
      <c r="G76" s="21" t="n">
        <v>8000</v>
      </c>
      <c r="H76" s="21" t="n">
        <v>8000</v>
      </c>
      <c r="I76" s="21" t="n">
        <v>8000</v>
      </c>
    </row>
    <row r="77" outlineLevel="1">
      <c r="A77" s="13" t="inlineStr">
        <is>
          <t xml:space="preserve">  Current Term Debt</t>
        </is>
      </c>
      <c r="B77" s="8" t="inlineStr">
        <is>
          <t>$m</t>
        </is>
      </c>
      <c r="C77" s="20" t="n">
        <v>9822</v>
      </c>
      <c r="D77" s="20" t="n">
        <v>10912</v>
      </c>
      <c r="E77" s="20" t="n">
        <v>12350</v>
      </c>
      <c r="F77" s="21" t="n">
        <v>11000</v>
      </c>
      <c r="G77" s="21" t="n">
        <v>10500</v>
      </c>
      <c r="H77" s="21" t="n">
        <v>10000</v>
      </c>
      <c r="I77" s="21" t="n">
        <v>9500</v>
      </c>
    </row>
    <row r="78">
      <c r="A78" s="7" t="inlineStr">
        <is>
          <t>Total Current Liabilities</t>
        </is>
      </c>
      <c r="B78" s="8" t="inlineStr">
        <is>
          <t>$m</t>
        </is>
      </c>
      <c r="C78" s="10">
        <f>(((C73*1000000) + (C74*1000000) + (C75*1000000) + (C76*1000000) + (C77*1000000))/1000000)</f>
        <v>145308</v>
      </c>
      <c r="D78" s="10">
        <f>(((D73*1000000) + (D74*1000000) + (D75*1000000) + (D76*1000000) + (D77*1000000))/1000000)</f>
        <v>176392</v>
      </c>
      <c r="E78" s="10">
        <f>(((E73*1000000) + (E74*1000000) + (E75*1000000) + (E76*1000000) + (E77*1000000))/1000000)</f>
        <v>165631</v>
      </c>
      <c r="F78" s="23">
        <f>(((F73*1000000) + (F74*1000000) + (F75*1000000) + (F76*1000000) + (F77*1000000))/1000000)</f>
        <v>179540.2</v>
      </c>
      <c r="G78" s="23">
        <f>(((G73*1000000) + (G74*1000000) + (G75*1000000) + (G76*1000000) + (G77*1000000))/1000000)</f>
        <v>191724.9</v>
      </c>
      <c r="H78" s="23">
        <f>(((H73*1000000) + (H74*1000000) + (H75*1000000) + (H76*1000000) + (H77*1000000))/1000000)</f>
        <v>198823.1</v>
      </c>
      <c r="I78" s="23">
        <f>(((I73*1000000) + (I74*1000000) + (I75*1000000) + (I76*1000000) + (I77*1000000))/1000000)</f>
        <v>205635.8</v>
      </c>
    </row>
    <row r="79" outlineLevel="1">
      <c r="A79" s="13" t="inlineStr">
        <is>
          <t xml:space="preserve">  Long-Term Debt</t>
        </is>
      </c>
      <c r="B79" s="8" t="inlineStr">
        <is>
          <t>$m</t>
        </is>
      </c>
      <c r="C79" s="20" t="n">
        <v>95281</v>
      </c>
      <c r="D79" s="20" t="n">
        <v>85750</v>
      </c>
      <c r="E79" s="20" t="n">
        <v>78328</v>
      </c>
      <c r="F79" s="21" t="n">
        <v>75000</v>
      </c>
      <c r="G79" s="21" t="n">
        <v>72000</v>
      </c>
      <c r="H79" s="21" t="n">
        <v>69000</v>
      </c>
      <c r="I79" s="21" t="n">
        <v>66000</v>
      </c>
    </row>
    <row r="80" outlineLevel="1">
      <c r="A80" s="13" t="inlineStr">
        <is>
          <t xml:space="preserve">  Other Non-Current Liabilities</t>
        </is>
      </c>
      <c r="B80" s="8" t="inlineStr">
        <is>
          <t>$m</t>
        </is>
      </c>
      <c r="C80" s="20" t="n">
        <v>49848</v>
      </c>
      <c r="D80" s="20" t="n">
        <v>45888</v>
      </c>
      <c r="E80" s="20" t="n">
        <v>41549</v>
      </c>
      <c r="F80" s="22">
        <f>(((F33*1000000) * F55)/1000000)</f>
        <v>45418</v>
      </c>
      <c r="G80" s="22">
        <f>(((G33*1000000) * G55)/1000000)</f>
        <v>46583.1</v>
      </c>
      <c r="H80" s="22">
        <f>(((H33*1000000) * H55)/1000000)</f>
        <v>46097.3</v>
      </c>
      <c r="I80" s="22">
        <f>(((I33*1000000) * I55)/1000000)</f>
        <v>45265.2</v>
      </c>
    </row>
    <row r="81">
      <c r="A81" s="7" t="inlineStr">
        <is>
          <t>Total Non-Current Liabilities</t>
        </is>
      </c>
      <c r="B81" s="8" t="inlineStr">
        <is>
          <t>$m</t>
        </is>
      </c>
      <c r="C81" s="10">
        <f>(((C79*1000000) + (C80*1000000))/1000000)</f>
        <v>145129</v>
      </c>
      <c r="D81" s="10">
        <f>(((D79*1000000) + (D80*1000000))/1000000)</f>
        <v>131638</v>
      </c>
      <c r="E81" s="10">
        <f>(((E79*1000000) + (E80*1000000))/1000000)</f>
        <v>119877</v>
      </c>
      <c r="F81" s="23">
        <f>(((F79*1000000) + (F80*1000000))/1000000)</f>
        <v>120418</v>
      </c>
      <c r="G81" s="23">
        <f>(((G79*1000000) + (G80*1000000))/1000000)</f>
        <v>118583.1</v>
      </c>
      <c r="H81" s="23">
        <f>(((H79*1000000) + (H80*1000000))/1000000)</f>
        <v>115097.3</v>
      </c>
      <c r="I81" s="23">
        <f>(((I79*1000000) + (I80*1000000))/1000000)</f>
        <v>111265.2</v>
      </c>
    </row>
    <row r="82">
      <c r="A82" s="7" t="inlineStr">
        <is>
          <t>Total Liabilities</t>
        </is>
      </c>
      <c r="B82" s="8" t="inlineStr">
        <is>
          <t>$m</t>
        </is>
      </c>
      <c r="C82" s="10">
        <f>(((C78*1000000) + (C81*1000000))/1000000)</f>
        <v>290437</v>
      </c>
      <c r="D82" s="10">
        <f>(((D78*1000000) + (D81*1000000))/1000000)</f>
        <v>308030</v>
      </c>
      <c r="E82" s="10">
        <f>(((E78*1000000) + (E81*1000000))/1000000)</f>
        <v>285508</v>
      </c>
      <c r="F82" s="23">
        <f>(((F78*1000000) + (F81*1000000))/1000000)</f>
        <v>299958.2</v>
      </c>
      <c r="G82" s="23">
        <f>(((G78*1000000) + (G81*1000000))/1000000)</f>
        <v>310308.1</v>
      </c>
      <c r="H82" s="23">
        <f>(((H78*1000000) + (H81*1000000))/1000000)</f>
        <v>313920.4</v>
      </c>
      <c r="I82" s="23">
        <f>(((I78*1000000) + (I81*1000000))/1000000)</f>
        <v>316901</v>
      </c>
    </row>
    <row r="83" outlineLevel="1">
      <c r="A83" s="13" t="inlineStr">
        <is>
          <t xml:space="preserve">  Common Stock and APIC</t>
        </is>
      </c>
      <c r="B83" s="8" t="inlineStr">
        <is>
          <t>$m</t>
        </is>
      </c>
      <c r="C83" s="20" t="n">
        <v>73812</v>
      </c>
      <c r="D83" s="20" t="n">
        <v>83276</v>
      </c>
      <c r="E83" s="20" t="n">
        <v>93568</v>
      </c>
      <c r="F83" s="22">
        <f>(((E83*1000000) + (F94*1000000) + (F108*1000000))/1000000)</f>
        <v>102173.5</v>
      </c>
      <c r="G83" s="22">
        <f>(((F83*1000000) + (G94*1000000) + (G108*1000000))/1000000)</f>
        <v>111490.1</v>
      </c>
      <c r="H83" s="22">
        <f>(((G83*1000000) + (H94*1000000) + (H108*1000000))/1000000)</f>
        <v>121251.9</v>
      </c>
      <c r="I83" s="22">
        <f>(((H83*1000000) + (I94*1000000) + (I108*1000000))/1000000)</f>
        <v>131436.6</v>
      </c>
    </row>
    <row r="84" outlineLevel="1">
      <c r="A84" s="13" t="inlineStr">
        <is>
          <t xml:space="preserve">  Accumulated Deficit / Retained Earnings</t>
        </is>
      </c>
      <c r="B84" s="8" t="inlineStr">
        <is>
          <t>$m</t>
        </is>
      </c>
      <c r="C84" s="20" t="n">
        <v>-214</v>
      </c>
      <c r="D84" s="20" t="n">
        <v>-19154</v>
      </c>
      <c r="E84" s="20" t="n">
        <v>-14264</v>
      </c>
      <c r="F84" s="22">
        <f>(((E84*1000000) + (F92*1000000) + (F109*1000000) + (F110*1000000))/1000000)</f>
        <v>7522.1</v>
      </c>
      <c r="G84" s="22">
        <f>(((F84*1000000) + (G92*1000000) + (G109*1000000) + (G110*1000000))/1000000)</f>
        <v>40146.6</v>
      </c>
      <c r="H84" s="22">
        <f>(((G84*1000000) + (H92*1000000) + (H109*1000000) + (H110*1000000))/1000000)</f>
        <v>85553.3</v>
      </c>
      <c r="I84" s="22">
        <f>(((H84*1000000) + (I92*1000000) + (I109*1000000) + (I110*1000000))/1000000)</f>
        <v>142947.5</v>
      </c>
    </row>
    <row r="85" outlineLevel="1">
      <c r="A85" s="13" t="inlineStr">
        <is>
          <t xml:space="preserve">  Accumulated Other Comprehensive Loss</t>
        </is>
      </c>
      <c r="B85" s="8" t="inlineStr">
        <is>
          <t>$m</t>
        </is>
      </c>
      <c r="C85" s="20" t="n">
        <v>-11452</v>
      </c>
      <c r="D85" s="20" t="n">
        <v>-7172</v>
      </c>
      <c r="E85" s="20" t="n">
        <v>-5571</v>
      </c>
      <c r="F85" s="22">
        <f>(((E85*1000000))/1000000)</f>
        <v>-5571</v>
      </c>
      <c r="G85" s="22">
        <f>(((F85*1000000))/1000000)</f>
        <v>-5571</v>
      </c>
      <c r="H85" s="22">
        <f>(((G85*1000000))/1000000)</f>
        <v>-5571</v>
      </c>
      <c r="I85" s="22">
        <f>(((H85*1000000))/1000000)</f>
        <v>-5571</v>
      </c>
    </row>
    <row r="86">
      <c r="A86" s="7" t="inlineStr">
        <is>
          <t>Total Shareholders' Equity</t>
        </is>
      </c>
      <c r="B86" s="8" t="inlineStr">
        <is>
          <t>$m</t>
        </is>
      </c>
      <c r="C86" s="10">
        <f>(((C83*1000000) + (C84*1000000) + (C85*1000000))/1000000)</f>
        <v>62146</v>
      </c>
      <c r="D86" s="10">
        <f>(((D83*1000000) + (D84*1000000) + (D85*1000000))/1000000)</f>
        <v>56950</v>
      </c>
      <c r="E86" s="10">
        <f>(((E83*1000000) + (E84*1000000) + (E85*1000000))/1000000)</f>
        <v>73733</v>
      </c>
      <c r="F86" s="23">
        <f>(((F83*1000000) + (F84*1000000) + (F85*1000000))/1000000)</f>
        <v>104124.7</v>
      </c>
      <c r="G86" s="23">
        <f>(((G83*1000000) + (G84*1000000) + (G85*1000000))/1000000)</f>
        <v>146065.8</v>
      </c>
      <c r="H86" s="23">
        <f>(((H83*1000000) + (H84*1000000) + (H85*1000000))/1000000)</f>
        <v>201234.3</v>
      </c>
      <c r="I86" s="23">
        <f>(((I83*1000000) + (I84*1000000) + (I85*1000000))/1000000)</f>
        <v>268813.1</v>
      </c>
    </row>
    <row r="87">
      <c r="A87" s="7" t="inlineStr">
        <is>
          <t>Total Liabilities and Equity</t>
        </is>
      </c>
      <c r="B87" s="8" t="inlineStr">
        <is>
          <t>$m</t>
        </is>
      </c>
      <c r="C87" s="10">
        <f>(((C82*1000000) + (C86*1000000))/1000000)</f>
        <v>352583</v>
      </c>
      <c r="D87" s="10">
        <f>(((D82*1000000) + (D86*1000000))/1000000)</f>
        <v>364980</v>
      </c>
      <c r="E87" s="10">
        <f>(((E82*1000000) + (E86*1000000))/1000000)</f>
        <v>359241</v>
      </c>
      <c r="F87" s="23">
        <f>(((F82*1000000) + (F86*1000000))/1000000)</f>
        <v>404082.9</v>
      </c>
      <c r="G87" s="23">
        <f>(((G82*1000000) + (G86*1000000))/1000000)</f>
        <v>456373.8</v>
      </c>
      <c r="H87" s="23">
        <f>(((H82*1000000) + (H86*1000000))/1000000)</f>
        <v>515154.7</v>
      </c>
      <c r="I87" s="23">
        <f>(((I82*1000000) + (I86*1000000))/1000000)</f>
        <v>585714.1</v>
      </c>
    </row>
    <row r="88">
      <c r="A88" s="7" t="inlineStr">
        <is>
          <t>Balance Check</t>
        </is>
      </c>
      <c r="B88" s="8" t="inlineStr">
        <is>
          <t>$m</t>
        </is>
      </c>
      <c r="C88" s="10">
        <f>(((C72*1000000) - (C87*1000000))/1000000)</f>
        <v>0</v>
      </c>
      <c r="D88" s="10">
        <f>(((D72*1000000) - (D87*1000000))/1000000)</f>
        <v>0</v>
      </c>
      <c r="E88" s="10">
        <f>(((E72*1000000) - (E87*1000000))/1000000)</f>
        <v>0</v>
      </c>
      <c r="F88" s="23">
        <f>(((F72*1000000) - (F87*1000000))/1000000)</f>
        <v>0</v>
      </c>
      <c r="G88" s="23">
        <f>(((G72*1000000) - (G87*1000000))/1000000)</f>
        <v>0</v>
      </c>
      <c r="H88" s="23">
        <f>(((H72*1000000) - (H87*1000000))/1000000)</f>
        <v>0</v>
      </c>
      <c r="I88" s="23">
        <f>(((I72*1000000) - (I87*1000000))/1000000)</f>
        <v>0</v>
      </c>
    </row>
    <row r="89">
      <c r="A89" s="7" t="inlineStr">
        <is>
          <t>Equity Award Tax Payments / Revenue</t>
        </is>
      </c>
      <c r="B89" s="8" t="inlineStr">
        <is>
          <t>%</t>
        </is>
      </c>
      <c r="C89" s="24">
        <f>-(C108*1000000) / (C33*1000000)</f>
        <v>0.014</v>
      </c>
      <c r="D89" s="24">
        <f>-(D108*1000000) / (D33*1000000)</f>
        <v>0.014</v>
      </c>
      <c r="E89" s="24">
        <f>-(E108*1000000) / (E33*1000000)</f>
        <v>0.014</v>
      </c>
      <c r="F89" s="25" t="n">
        <v>0.012</v>
      </c>
      <c r="G89" s="25" t="n">
        <v>0.012</v>
      </c>
      <c r="H89" s="25" t="n">
        <v>0.012</v>
      </c>
      <c r="I89" s="25" t="n">
        <v>0.012</v>
      </c>
    </row>
    <row r="90">
      <c r="A90" s="5" t="inlineStr">
        <is>
          <t>Cash Flow Statement</t>
        </is>
      </c>
      <c r="B90" s="6" t="n"/>
      <c r="C90" s="6" t="n"/>
      <c r="D90" s="6" t="n"/>
      <c r="E90" s="6" t="n"/>
      <c r="F90" s="6" t="n"/>
      <c r="G90" s="6" t="n"/>
      <c r="H90" s="6" t="n"/>
      <c r="I90" s="6" t="n"/>
    </row>
    <row r="91">
      <c r="A91" s="7" t="inlineStr">
        <is>
          <t>Cash, Beginning Balance</t>
        </is>
      </c>
      <c r="B91" s="8" t="inlineStr">
        <is>
          <t>$m</t>
        </is>
      </c>
      <c r="C91" s="10" t="n">
        <v>24977</v>
      </c>
      <c r="D91" s="10" t="n">
        <v>30737</v>
      </c>
      <c r="E91" s="10" t="n">
        <v>29943</v>
      </c>
      <c r="F91" s="23">
        <f>(((E61*1000000))/1000000)</f>
        <v>35934</v>
      </c>
      <c r="G91" s="23">
        <f>(((F61*1000000))/1000000)</f>
        <v>54339.2</v>
      </c>
      <c r="H91" s="23">
        <f>(((G61*1000000))/1000000)</f>
        <v>94632.2</v>
      </c>
      <c r="I91" s="23">
        <f>(((H61*1000000))/1000000)</f>
        <v>152485</v>
      </c>
    </row>
    <row r="92" outlineLevel="1">
      <c r="A92" s="13" t="inlineStr">
        <is>
          <t xml:space="preserve">  Net Income</t>
        </is>
      </c>
      <c r="B92" s="8" t="inlineStr">
        <is>
          <t>$m</t>
        </is>
      </c>
      <c r="C92" s="20">
        <f>(((C51*1000000) + (C53*1000000))/1000000)</f>
        <v>96995</v>
      </c>
      <c r="D92" s="20">
        <f>(((D51*1000000) + (D53*1000000))/1000000)</f>
        <v>93736</v>
      </c>
      <c r="E92" s="20">
        <f>(((E51*1000000) + (E53*1000000))/1000000)</f>
        <v>112010</v>
      </c>
      <c r="F92" s="22">
        <f>(((F51*1000000) + (F53*1000000))/1000000)</f>
        <v>127586.1</v>
      </c>
      <c r="G92" s="22">
        <f>(((G51*1000000) + (G53*1000000))/1000000)</f>
        <v>138600</v>
      </c>
      <c r="H92" s="22">
        <f>(((H51*1000000) + (H53*1000000))/1000000)</f>
        <v>146678.2</v>
      </c>
      <c r="I92" s="22">
        <f>(((I51*1000000) + (I53*1000000))/1000000)</f>
        <v>153936.8</v>
      </c>
    </row>
    <row r="93" outlineLevel="1">
      <c r="A93" s="13" t="inlineStr">
        <is>
          <t xml:space="preserve">  Depreciation and Amortization</t>
        </is>
      </c>
      <c r="B93" s="8" t="inlineStr">
        <is>
          <t>$m</t>
        </is>
      </c>
      <c r="C93" s="20" t="n">
        <v>11519</v>
      </c>
      <c r="D93" s="20" t="n">
        <v>11445</v>
      </c>
      <c r="E93" s="20" t="n">
        <v>11698</v>
      </c>
      <c r="F93" s="22">
        <f>(((F33*1000000) * F24)/1000000)</f>
        <v>12908.3</v>
      </c>
      <c r="G93" s="22">
        <f>(((G33*1000000) * G24)/1000000)</f>
        <v>13974.9</v>
      </c>
      <c r="H93" s="22">
        <f>(((H33*1000000) * H24)/1000000)</f>
        <v>14642.7</v>
      </c>
      <c r="I93" s="22">
        <f>(((I33*1000000) * I24)/1000000)</f>
        <v>15277</v>
      </c>
    </row>
    <row r="94" outlineLevel="1">
      <c r="A94" s="13" t="inlineStr">
        <is>
          <t xml:space="preserve">  Share-Based Compensation</t>
        </is>
      </c>
      <c r="B94" s="8" t="inlineStr">
        <is>
          <t>$m</t>
        </is>
      </c>
      <c r="C94" s="20" t="n">
        <v>10833</v>
      </c>
      <c r="D94" s="20" t="n">
        <v>11688</v>
      </c>
      <c r="E94" s="20" t="n">
        <v>12863</v>
      </c>
      <c r="F94" s="22">
        <f>(((F33*1000000) * F25)/1000000)</f>
        <v>14342.5</v>
      </c>
      <c r="G94" s="22">
        <f>(((G33*1000000) * G25)/1000000)</f>
        <v>15527.7</v>
      </c>
      <c r="H94" s="22">
        <f>(((H33*1000000) * H25)/1000000)</f>
        <v>16269.6</v>
      </c>
      <c r="I94" s="22">
        <f>(((I33*1000000) * I25)/1000000)</f>
        <v>16974.5</v>
      </c>
    </row>
    <row r="95" outlineLevel="1">
      <c r="A95" s="13" t="inlineStr">
        <is>
          <t xml:space="preserve">  Other Non-Cash / Operating Items</t>
        </is>
      </c>
      <c r="B95" s="8" t="inlineStr">
        <is>
          <t>$m</t>
        </is>
      </c>
      <c r="C95" s="20" t="n">
        <v>-2227</v>
      </c>
      <c r="D95" s="20" t="n">
        <v>-2266</v>
      </c>
      <c r="E95" s="20" t="n">
        <v>-89</v>
      </c>
      <c r="F95" s="21" t="n">
        <v>0</v>
      </c>
      <c r="G95" s="21" t="n">
        <v>0</v>
      </c>
      <c r="H95" s="21" t="n">
        <v>0</v>
      </c>
      <c r="I95" s="21" t="n">
        <v>0</v>
      </c>
    </row>
    <row r="96" outlineLevel="2">
      <c r="A96" s="13" t="inlineStr">
        <is>
          <t xml:space="preserve">    Change in Accounts Receivable</t>
        </is>
      </c>
      <c r="B96" s="8" t="inlineStr">
        <is>
          <t>$m</t>
        </is>
      </c>
      <c r="C96" s="20" t="n">
        <v>-1688</v>
      </c>
      <c r="D96" s="20" t="n">
        <v>-3788</v>
      </c>
      <c r="E96" s="20" t="n">
        <v>-6682</v>
      </c>
      <c r="F96" s="22">
        <f>((-((F63*1000000) - (E63*1000000)))/1000000)</f>
        <v>-4101.9</v>
      </c>
      <c r="G96" s="22">
        <f>((-((G63*1000000) - (F63*1000000)))/1000000)</f>
        <v>-2916.9</v>
      </c>
      <c r="H96" s="22">
        <f>((-((H63*1000000) - (G63*1000000)))/1000000)</f>
        <v>-2236</v>
      </c>
      <c r="I96" s="22">
        <f>((-((I63*1000000) - (H63*1000000)))/1000000)</f>
        <v>-2124.1</v>
      </c>
    </row>
    <row r="97" outlineLevel="2">
      <c r="A97" s="13" t="inlineStr">
        <is>
          <t xml:space="preserve">    Change in Vendor Non-Trade Receivables</t>
        </is>
      </c>
      <c r="B97" s="8" t="inlineStr">
        <is>
          <t>$m</t>
        </is>
      </c>
      <c r="C97" s="20" t="n">
        <v>1271</v>
      </c>
      <c r="D97" s="20" t="n">
        <v>-1356</v>
      </c>
      <c r="E97" s="20" t="n">
        <v>-347</v>
      </c>
      <c r="F97" s="22">
        <f>((-((F64*1000000) - (E64*1000000)))/1000000)</f>
        <v>-5440</v>
      </c>
      <c r="G97" s="22">
        <f>((-((G64*1000000) - (F64*1000000)))/1000000)</f>
        <v>-2775.6</v>
      </c>
      <c r="H97" s="22">
        <f>((-((H64*1000000) - (G64*1000000)))/1000000)</f>
        <v>-1367.8</v>
      </c>
      <c r="I97" s="22">
        <f>((-((I64*1000000) - (H64*1000000)))/1000000)</f>
        <v>-1324.3</v>
      </c>
    </row>
    <row r="98" outlineLevel="2">
      <c r="A98" s="13" t="inlineStr">
        <is>
          <t xml:space="preserve">    Change in Inventories</t>
        </is>
      </c>
      <c r="B98" s="8" t="inlineStr">
        <is>
          <t>$m</t>
        </is>
      </c>
      <c r="C98" s="20" t="n">
        <v>-1618</v>
      </c>
      <c r="D98" s="20" t="n">
        <v>-1046</v>
      </c>
      <c r="E98" s="20" t="n">
        <v>1400</v>
      </c>
      <c r="F98" s="22">
        <f>((-((F65*1000000) - (E65*1000000)))/1000000)</f>
        <v>-1335.9</v>
      </c>
      <c r="G98" s="22">
        <f>((-((G65*1000000) - (F65*1000000)))/1000000)</f>
        <v>-507</v>
      </c>
      <c r="H98" s="22">
        <f>((-((H65*1000000) - (G65*1000000)))/1000000)</f>
        <v>-249.8</v>
      </c>
      <c r="I98" s="22">
        <f>((-((I65*1000000) - (H65*1000000)))/1000000)</f>
        <v>-241.9</v>
      </c>
    </row>
    <row r="99" outlineLevel="2">
      <c r="A99" s="13" t="inlineStr">
        <is>
          <t xml:space="preserve">    Change in Other Assets</t>
        </is>
      </c>
      <c r="B99" s="8" t="inlineStr">
        <is>
          <t>$m</t>
        </is>
      </c>
      <c r="C99" s="20" t="n">
        <v>-5684</v>
      </c>
      <c r="D99" s="20" t="n">
        <v>-11731</v>
      </c>
      <c r="E99" s="20" t="n">
        <v>-9197</v>
      </c>
      <c r="F99" s="22">
        <f>((-(((F66*1000000) + (F70*1000000)) - ((E66*1000000) + (E70*1000000))))/1000000)</f>
        <v>-14037.7</v>
      </c>
      <c r="G99" s="22">
        <f>((-(((G66*1000000) + (G70*1000000)) - ((F66*1000000) + (F70*1000000))))/1000000)</f>
        <v>-6696.1</v>
      </c>
      <c r="H99" s="22">
        <f>((-(((H66*1000000) + (H70*1000000)) - ((G66*1000000) + (G70*1000000))))/1000000)</f>
        <v>-2976.5</v>
      </c>
      <c r="I99" s="22">
        <f>((-(((I66*1000000) + (I70*1000000)) - ((H66*1000000) + (H70*1000000))))/1000000)</f>
        <v>-2457</v>
      </c>
    </row>
    <row r="100" outlineLevel="2">
      <c r="A100" s="13" t="inlineStr">
        <is>
          <t xml:space="preserve">    Change in Accounts Payable</t>
        </is>
      </c>
      <c r="B100" s="8" t="inlineStr">
        <is>
          <t>$m</t>
        </is>
      </c>
      <c r="C100" s="20" t="n">
        <v>-1889</v>
      </c>
      <c r="D100" s="20" t="n">
        <v>6020</v>
      </c>
      <c r="E100" s="20" t="n">
        <v>902</v>
      </c>
      <c r="F100" s="22">
        <f>(((F73*1000000) - (E73*1000000))/1000000)</f>
        <v>9143.4</v>
      </c>
      <c r="G100" s="22">
        <f>(((G73*1000000) - (F73*1000000))/1000000)</f>
        <v>5678</v>
      </c>
      <c r="H100" s="22">
        <f>(((H73*1000000) - (G73*1000000))/1000000)</f>
        <v>2798</v>
      </c>
      <c r="I100" s="22">
        <f>(((I73*1000000) - (H73*1000000))/1000000)</f>
        <v>2709</v>
      </c>
    </row>
    <row r="101" outlineLevel="2">
      <c r="A101" s="13" t="inlineStr">
        <is>
          <t xml:space="preserve">    Change in Deferred Revenue</t>
        </is>
      </c>
      <c r="B101" s="8" t="inlineStr">
        <is>
          <t>$m</t>
        </is>
      </c>
      <c r="C101" s="14" t="n"/>
      <c r="D101" s="14" t="n"/>
      <c r="E101" s="14" t="n"/>
      <c r="F101" s="22">
        <f>(((F75*1000000) - (E75*1000000))/1000000)</f>
        <v>769.2</v>
      </c>
      <c r="G101" s="22">
        <f>(((G75*1000000) - (F75*1000000))/1000000)</f>
        <v>1080.7</v>
      </c>
      <c r="H101" s="22">
        <f>(((H75*1000000) - (G75*1000000))/1000000)</f>
        <v>1090.5</v>
      </c>
      <c r="I101" s="22">
        <f>(((I75*1000000) - (H75*1000000))/1000000)</f>
        <v>1079.6</v>
      </c>
    </row>
    <row r="102" outlineLevel="2">
      <c r="A102" s="13" t="inlineStr">
        <is>
          <t xml:space="preserve">    Change in Other Liabilities</t>
        </is>
      </c>
      <c r="B102" s="8" t="inlineStr">
        <is>
          <t>$m</t>
        </is>
      </c>
      <c r="C102" s="20" t="n">
        <v>3031</v>
      </c>
      <c r="D102" s="20" t="n">
        <v>15552</v>
      </c>
      <c r="E102" s="20" t="n">
        <v>-11076</v>
      </c>
      <c r="F102" s="22">
        <f>((((F74*1000000) + (F80*1000000)) - ((E74*1000000) + (E80*1000000)))/1000000)</f>
        <v>9194.5</v>
      </c>
      <c r="G102" s="22">
        <f>((((G74*1000000) + (G80*1000000)) - ((F74*1000000) + (F80*1000000)))/1000000)</f>
        <v>7091.2</v>
      </c>
      <c r="H102" s="22">
        <f>((((H74*1000000) + (H80*1000000)) - ((G74*1000000) + (G80*1000000)))/1000000)</f>
        <v>3223.8</v>
      </c>
      <c r="I102" s="22">
        <f>((((I74*1000000) + (I80*1000000)) - ((H74*1000000) + (H80*1000000)))/1000000)</f>
        <v>2692</v>
      </c>
    </row>
    <row r="103">
      <c r="A103" s="7" t="inlineStr">
        <is>
          <t>Cash Generated by Operating Activities</t>
        </is>
      </c>
      <c r="B103" s="8" t="inlineStr">
        <is>
          <t>$m</t>
        </is>
      </c>
      <c r="C103" s="10" t="n">
        <v>110543</v>
      </c>
      <c r="D103" s="10" t="n">
        <v>118254</v>
      </c>
      <c r="E103" s="10" t="n">
        <v>111482</v>
      </c>
      <c r="F103" s="23">
        <f>(((F92*1000000) + (F93*1000000) + (F94*1000000) + (F95*1000000) + (F96*1000000) + (F97*1000000) + (F98*1000000) + (F99*1000000) + (F100*1000000) + (F101*1000000) + (F102*1000000))/1000000)</f>
        <v>149028.6</v>
      </c>
      <c r="G103" s="23">
        <f>(((G92*1000000) + (G93*1000000) + (G94*1000000) + (G95*1000000) + (G96*1000000) + (G97*1000000) + (G98*1000000) + (G99*1000000) + (G100*1000000) + (G101*1000000) + (G102*1000000))/1000000)</f>
        <v>169056.9</v>
      </c>
      <c r="H103" s="23">
        <f>(((H92*1000000) + (H93*1000000) + (H94*1000000) + (H95*1000000) + (H96*1000000) + (H97*1000000) + (H98*1000000) + (H99*1000000) + (H100*1000000) + (H101*1000000) + (H102*1000000))/1000000)</f>
        <v>177872.8</v>
      </c>
      <c r="I103" s="23">
        <f>(((I92*1000000) + (I93*1000000) + (I94*1000000) + (I95*1000000) + (I96*1000000) + (I97*1000000) + (I98*1000000) + (I99*1000000) + (I100*1000000) + (I101*1000000) + (I102*1000000))/1000000)</f>
        <v>186521.6</v>
      </c>
    </row>
    <row r="104" outlineLevel="1">
      <c r="A104" s="13" t="inlineStr">
        <is>
          <t xml:space="preserve">  Net Marketable Securities Cash Flow</t>
        </is>
      </c>
      <c r="B104" s="8" t="inlineStr">
        <is>
          <t>$m</t>
        </is>
      </c>
      <c r="C104" s="20" t="n">
        <v>16001</v>
      </c>
      <c r="D104" s="20" t="n">
        <v>13690</v>
      </c>
      <c r="E104" s="20" t="n">
        <v>29390</v>
      </c>
      <c r="F104" s="22">
        <f>((-(((F62*1000000) + (F68*1000000)) - ((E62*1000000) + (E68*1000000))))/1000000)</f>
        <v>869.2</v>
      </c>
      <c r="G104" s="22">
        <f>((-(((G62*1000000) + (G68*1000000)) - ((F62*1000000) + (F68*1000000))))/1000000)</f>
        <v>3485.7</v>
      </c>
      <c r="H104" s="22">
        <f>((-(((H62*1000000) + (H68*1000000)) - ((G62*1000000) + (G68*1000000))))/1000000)</f>
        <v>8071.3</v>
      </c>
      <c r="I104" s="22">
        <f>((-(((I62*1000000) + (I68*1000000)) - ((H62*1000000) + (H68*1000000))))/1000000)</f>
        <v>9372.2</v>
      </c>
    </row>
    <row r="105" outlineLevel="1">
      <c r="A105" s="13" t="inlineStr">
        <is>
          <t xml:space="preserve">  Capital Expenditures</t>
        </is>
      </c>
      <c r="B105" s="8" t="inlineStr">
        <is>
          <t>$m</t>
        </is>
      </c>
      <c r="C105" s="20" t="n">
        <v>-10959</v>
      </c>
      <c r="D105" s="20" t="n">
        <v>-9447</v>
      </c>
      <c r="E105" s="20" t="n">
        <v>-12715</v>
      </c>
      <c r="F105" s="22">
        <f>((-(F33*1000000) * F21)/1000000)</f>
        <v>-15298.7</v>
      </c>
      <c r="G105" s="22">
        <f>((-(G33*1000000) * G21)/1000000)</f>
        <v>-16562.9</v>
      </c>
      <c r="H105" s="22">
        <f>((-(H33*1000000) * H21)/1000000)</f>
        <v>-16812</v>
      </c>
      <c r="I105" s="22">
        <f>((-(I33*1000000) * I21)/1000000)</f>
        <v>-17540.3</v>
      </c>
    </row>
    <row r="106" outlineLevel="1">
      <c r="A106" s="13" t="inlineStr">
        <is>
          <t xml:space="preserve">  Other Investing Cash Flow</t>
        </is>
      </c>
      <c r="B106" s="8" t="inlineStr">
        <is>
          <t>$m</t>
        </is>
      </c>
      <c r="C106" s="20" t="n">
        <v>-1337</v>
      </c>
      <c r="D106" s="20" t="n">
        <v>-1308</v>
      </c>
      <c r="E106" s="20" t="n">
        <v>-1480</v>
      </c>
      <c r="F106" s="21" t="n">
        <v>0</v>
      </c>
      <c r="G106" s="21" t="n">
        <v>0</v>
      </c>
      <c r="H106" s="21" t="n">
        <v>0</v>
      </c>
      <c r="I106" s="21" t="n">
        <v>0</v>
      </c>
    </row>
    <row r="107">
      <c r="A107" s="7" t="inlineStr">
        <is>
          <t>Cash Generated by / (Used in) Investing Activities</t>
        </is>
      </c>
      <c r="B107" s="8" t="inlineStr">
        <is>
          <t>$m</t>
        </is>
      </c>
      <c r="C107" s="10">
        <f>(((C104*1000000) + (C105*1000000) + (C106*1000000))/1000000)</f>
        <v>3705</v>
      </c>
      <c r="D107" s="10">
        <f>(((D104*1000000) + (D105*1000000) + (D106*1000000))/1000000)</f>
        <v>2935</v>
      </c>
      <c r="E107" s="10">
        <f>(((E104*1000000) + (E105*1000000) + (E106*1000000))/1000000)</f>
        <v>15195</v>
      </c>
      <c r="F107" s="23">
        <f>(((F104*1000000) + (F105*1000000) + (F106*1000000))/1000000)</f>
        <v>-14429.5</v>
      </c>
      <c r="G107" s="23">
        <f>(((G104*1000000) + (G105*1000000) + (G106*1000000))/1000000)</f>
        <v>-13077.2</v>
      </c>
      <c r="H107" s="23">
        <f>(((H104*1000000) + (H105*1000000) + (H106*1000000))/1000000)</f>
        <v>-8740.7</v>
      </c>
      <c r="I107" s="23">
        <f>(((I104*1000000) + (I105*1000000) + (I106*1000000))/1000000)</f>
        <v>-8168.1</v>
      </c>
    </row>
    <row r="108" outlineLevel="1">
      <c r="A108" s="13" t="inlineStr">
        <is>
          <t xml:space="preserve">  Taxes Paid for Net Share Settlement of Equity Awards</t>
        </is>
      </c>
      <c r="B108" s="8" t="inlineStr">
        <is>
          <t>$m</t>
        </is>
      </c>
      <c r="C108" s="20" t="n">
        <v>-5431</v>
      </c>
      <c r="D108" s="20" t="n">
        <v>-5441</v>
      </c>
      <c r="E108" s="20" t="n">
        <v>-5960</v>
      </c>
      <c r="F108" s="22">
        <f>((-(F33*1000000) * F89)/1000000)</f>
        <v>-5737</v>
      </c>
      <c r="G108" s="22">
        <f>((-(G33*1000000) * G89)/1000000)</f>
        <v>-6211.1</v>
      </c>
      <c r="H108" s="22">
        <f>((-(H33*1000000) * H89)/1000000)</f>
        <v>-6507.9</v>
      </c>
      <c r="I108" s="22">
        <f>((-(I33*1000000) * I89)/1000000)</f>
        <v>-6789.8</v>
      </c>
    </row>
    <row r="109" outlineLevel="1">
      <c r="A109" s="13" t="inlineStr">
        <is>
          <t xml:space="preserve">  Dividends Paid</t>
        </is>
      </c>
      <c r="B109" s="8" t="inlineStr">
        <is>
          <t>$m</t>
        </is>
      </c>
      <c r="C109" s="20" t="n">
        <v>-15025</v>
      </c>
      <c r="D109" s="20" t="n">
        <v>-15234</v>
      </c>
      <c r="E109" s="20" t="n">
        <v>-15421</v>
      </c>
      <c r="F109" s="22">
        <f>((-F17 * (F56*1000000))/1000000)</f>
        <v>-15799.9</v>
      </c>
      <c r="G109" s="22">
        <f>((-G17 * (G56*1000000))/1000000)</f>
        <v>-15975.5</v>
      </c>
      <c r="H109" s="22">
        <f>((-H17 * (H56*1000000))/1000000)</f>
        <v>-16271.5</v>
      </c>
      <c r="I109" s="22">
        <f>((-I17 * (I56*1000000))/1000000)</f>
        <v>-16542.7</v>
      </c>
    </row>
    <row r="110" outlineLevel="1">
      <c r="A110" s="13" t="inlineStr">
        <is>
          <t xml:space="preserve">  Share Repurchases</t>
        </is>
      </c>
      <c r="B110" s="8" t="inlineStr">
        <is>
          <t>$m</t>
        </is>
      </c>
      <c r="C110" s="20" t="n">
        <v>-77550</v>
      </c>
      <c r="D110" s="20" t="n">
        <v>-94949</v>
      </c>
      <c r="E110" s="20" t="n">
        <v>-90711</v>
      </c>
      <c r="F110" s="21" t="n">
        <v>-90000</v>
      </c>
      <c r="G110" s="21" t="n">
        <v>-90000</v>
      </c>
      <c r="H110" s="21" t="n">
        <v>-85000</v>
      </c>
      <c r="I110" s="21" t="n">
        <v>-80000</v>
      </c>
    </row>
    <row r="111" outlineLevel="1">
      <c r="A111" s="13" t="inlineStr">
        <is>
          <t xml:space="preserve">  Net Debt Issuance / (Repayment)</t>
        </is>
      </c>
      <c r="B111" s="8" t="inlineStr">
        <is>
          <t>$m</t>
        </is>
      </c>
      <c r="C111" s="20" t="n">
        <v>-9901</v>
      </c>
      <c r="D111" s="20" t="n">
        <v>-5998</v>
      </c>
      <c r="E111" s="20" t="n">
        <v>-8483</v>
      </c>
      <c r="F111" s="22">
        <f>((((F76*1000000) + (F77*1000000) + (F79*1000000)) - ((E76*1000000) + (E77*1000000) + (E79*1000000)))/1000000)</f>
        <v>-4657</v>
      </c>
      <c r="G111" s="22">
        <f>((((G76*1000000) + (G77*1000000) + (G79*1000000)) - ((F76*1000000) + (F77*1000000) + (F79*1000000)))/1000000)</f>
        <v>-3500</v>
      </c>
      <c r="H111" s="22">
        <f>((((H76*1000000) + (H77*1000000) + (H79*1000000)) - ((G76*1000000) + (G77*1000000) + (G79*1000000)))/1000000)</f>
        <v>-3500</v>
      </c>
      <c r="I111" s="22">
        <f>((((I76*1000000) + (I77*1000000) + (I79*1000000)) - ((H76*1000000) + (H77*1000000) + (H79*1000000)))/1000000)</f>
        <v>-3500</v>
      </c>
    </row>
    <row r="112" outlineLevel="1">
      <c r="A112" s="13" t="inlineStr">
        <is>
          <t xml:space="preserve">  Other Financing Cash Flow</t>
        </is>
      </c>
      <c r="B112" s="8" t="inlineStr">
        <is>
          <t>$m</t>
        </is>
      </c>
      <c r="C112" s="20" t="n">
        <v>-581</v>
      </c>
      <c r="D112" s="20" t="n">
        <v>-361</v>
      </c>
      <c r="E112" s="20" t="n">
        <v>-111</v>
      </c>
      <c r="F112" s="21" t="n">
        <v>0</v>
      </c>
      <c r="G112" s="21" t="n">
        <v>0</v>
      </c>
      <c r="H112" s="21" t="n">
        <v>0</v>
      </c>
      <c r="I112" s="21" t="n">
        <v>0</v>
      </c>
    </row>
    <row r="113">
      <c r="A113" s="7" t="inlineStr">
        <is>
          <t>Cash Used in Financing Activities</t>
        </is>
      </c>
      <c r="B113" s="8" t="inlineStr">
        <is>
          <t>$m</t>
        </is>
      </c>
      <c r="C113" s="10">
        <f>(((C108*1000000) + (C109*1000000) + (C110*1000000) + (C111*1000000) + (C112*1000000))/1000000)</f>
        <v>-108488</v>
      </c>
      <c r="D113" s="10">
        <f>(((D108*1000000) + (D109*1000000) + (D110*1000000) + (D111*1000000) + (D112*1000000))/1000000)</f>
        <v>-121983</v>
      </c>
      <c r="E113" s="10">
        <f>(((E108*1000000) + (E109*1000000) + (E110*1000000) + (E111*1000000) + (E112*1000000))/1000000)</f>
        <v>-120686</v>
      </c>
      <c r="F113" s="23">
        <f>(((F108*1000000) + (F109*1000000) + (F110*1000000) + (F111*1000000) + (F112*1000000))/1000000)</f>
        <v>-116194</v>
      </c>
      <c r="G113" s="23">
        <f>(((G108*1000000) + (G109*1000000) + (G110*1000000) + (G111*1000000) + (G112*1000000))/1000000)</f>
        <v>-115686.6</v>
      </c>
      <c r="H113" s="23">
        <f>(((H108*1000000) + (H109*1000000) + (H110*1000000) + (H111*1000000) + (H112*1000000))/1000000)</f>
        <v>-111279.3</v>
      </c>
      <c r="I113" s="23">
        <f>(((I108*1000000) + (I109*1000000) + (I110*1000000) + (I111*1000000) + (I112*1000000))/1000000)</f>
        <v>-106832.5</v>
      </c>
    </row>
    <row r="114">
      <c r="A114" s="7" t="inlineStr">
        <is>
          <t>Increase / (Decrease) in Cash</t>
        </is>
      </c>
      <c r="B114" s="8" t="inlineStr">
        <is>
          <t>$m</t>
        </is>
      </c>
      <c r="C114" s="10">
        <f>(((C103*1000000) + (C107*1000000) + (C113*1000000))/1000000)</f>
        <v>5760</v>
      </c>
      <c r="D114" s="10">
        <f>(((D103*1000000) + (D107*1000000) + (D113*1000000))/1000000)</f>
        <v>-794</v>
      </c>
      <c r="E114" s="10">
        <f>(((E103*1000000) + (E107*1000000) + (E113*1000000))/1000000)</f>
        <v>5991</v>
      </c>
      <c r="F114" s="23">
        <f>(((F103*1000000) + (F107*1000000) + (F113*1000000))/1000000)</f>
        <v>18405.2</v>
      </c>
      <c r="G114" s="23">
        <f>(((G103*1000000) + (G107*1000000) + (G113*1000000))/1000000)</f>
        <v>40293.1</v>
      </c>
      <c r="H114" s="23">
        <f>(((H103*1000000) + (H107*1000000) + (H113*1000000))/1000000)</f>
        <v>57852.8</v>
      </c>
      <c r="I114" s="23">
        <f>(((I103*1000000) + (I107*1000000) + (I113*1000000))/1000000)</f>
        <v>71521.1</v>
      </c>
    </row>
    <row r="115">
      <c r="A115" s="7" t="inlineStr">
        <is>
          <t>Cash, Ending Balance</t>
        </is>
      </c>
      <c r="B115" s="8" t="inlineStr">
        <is>
          <t>$m</t>
        </is>
      </c>
      <c r="C115" s="10">
        <f>(((C91*1000000) + (C114*1000000))/1000000)</f>
        <v>30737</v>
      </c>
      <c r="D115" s="10">
        <f>(((D91*1000000) + (D114*1000000))/1000000)</f>
        <v>29943</v>
      </c>
      <c r="E115" s="10">
        <f>(((E91*1000000) + (E114*1000000))/1000000)</f>
        <v>35934</v>
      </c>
      <c r="F115" s="23">
        <f>(((F91*1000000) + (F114*1000000))/1000000)</f>
        <v>54339.2</v>
      </c>
      <c r="G115" s="23">
        <f>(((G91*1000000) + (G114*1000000))/1000000)</f>
        <v>94632.2</v>
      </c>
      <c r="H115" s="23">
        <f>(((H91*1000000) + (H114*1000000))/1000000)</f>
        <v>152485</v>
      </c>
      <c r="I115" s="23">
        <f>(((I91*1000000) + (I114*1000000))/1000000)</f>
        <v>224006.1</v>
      </c>
    </row>
  </sheetData>
  <pageMargins left="0.75" right="0.75" top="1" bottom="1" header="0.5" footer="0.5"/>
  <legacyDrawing r:id="anysvml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1"/>
    <pageSetUpPr/>
  </sheetPr>
  <dimension ref="A1:I31"/>
  <sheetViews>
    <sheetView showGridLines="0" zoomScale="85" zoomScaleNormal="85" workbookViewId="0">
      <pane xSplit="2" ySplit="2" topLeftCell="C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>
      <c r="C1" s="1" t="inlineStr">
        <is>
          <t>2023</t>
        </is>
      </c>
      <c r="D1" s="1" t="inlineStr">
        <is>
          <t>2024</t>
        </is>
      </c>
      <c r="E1" s="1" t="inlineStr">
        <is>
          <t>2025</t>
        </is>
      </c>
      <c r="F1" s="1" t="inlineStr">
        <is>
          <t>2026</t>
        </is>
      </c>
      <c r="G1" s="1" t="inlineStr">
        <is>
          <t>2027</t>
        </is>
      </c>
      <c r="H1" s="1" t="inlineStr">
        <is>
          <t>2028</t>
        </is>
      </c>
      <c r="I1" s="1" t="inlineStr">
        <is>
          <t>2029</t>
        </is>
      </c>
    </row>
    <row r="2">
      <c r="A2" s="2" t="inlineStr">
        <is>
          <t>Metric</t>
        </is>
      </c>
      <c r="B2" s="3" t="inlineStr">
        <is>
          <t>Units</t>
        </is>
      </c>
      <c r="C2" s="3" t="inlineStr">
        <is>
          <t>FY23</t>
        </is>
      </c>
      <c r="D2" s="3" t="inlineStr">
        <is>
          <t>FY24</t>
        </is>
      </c>
      <c r="E2" s="3" t="inlineStr">
        <is>
          <t>FY25</t>
        </is>
      </c>
      <c r="F2" s="4" t="inlineStr">
        <is>
          <t>FY26E</t>
        </is>
      </c>
      <c r="G2" s="4" t="inlineStr">
        <is>
          <t>FY27E</t>
        </is>
      </c>
      <c r="H2" s="4" t="inlineStr">
        <is>
          <t>FY28E</t>
        </is>
      </c>
      <c r="I2" s="4" t="inlineStr">
        <is>
          <t>FY29E</t>
        </is>
      </c>
    </row>
    <row r="3">
      <c r="A3" s="5" t="inlineStr">
        <is>
          <t>Consensus Anchors</t>
        </is>
      </c>
      <c r="B3" s="6" t="n"/>
      <c r="C3" s="6" t="n"/>
      <c r="D3" s="6" t="n"/>
      <c r="E3" s="6" t="n"/>
      <c r="F3" s="6" t="n"/>
      <c r="G3" s="6" t="n"/>
      <c r="H3" s="6" t="n"/>
      <c r="I3" s="6" t="n"/>
    </row>
    <row r="4">
      <c r="A4" s="7" t="inlineStr">
        <is>
          <t>Consensus Revenue</t>
        </is>
      </c>
      <c r="B4" s="8" t="inlineStr">
        <is>
          <t>$m</t>
        </is>
      </c>
      <c r="C4" s="9" t="n"/>
      <c r="D4" s="9" t="n"/>
      <c r="E4" s="10" t="n">
        <v>415655.4</v>
      </c>
      <c r="F4" s="11" t="n">
        <v>478083.8</v>
      </c>
      <c r="G4" s="11" t="n">
        <v>517590.4</v>
      </c>
      <c r="H4" s="12" t="n"/>
      <c r="I4" s="12" t="n"/>
    </row>
    <row r="5">
      <c r="A5" s="7" t="inlineStr">
        <is>
          <t>Consensus Diluted EPS</t>
        </is>
      </c>
      <c r="B5" s="8" t="inlineStr">
        <is>
          <t>$</t>
        </is>
      </c>
      <c r="C5" s="9" t="n"/>
      <c r="D5" s="9" t="n"/>
      <c r="E5" s="10" t="n">
        <v>7.4</v>
      </c>
      <c r="F5" s="11" t="n">
        <v>8.800000000000001</v>
      </c>
      <c r="G5" s="11" t="n">
        <v>9.699999999999999</v>
      </c>
      <c r="H5" s="12" t="n"/>
      <c r="I5" s="12" t="n"/>
    </row>
    <row r="6" outlineLevel="1">
      <c r="A6" s="13" t="inlineStr">
        <is>
          <t xml:space="preserve">  Revenue vs Consensus</t>
        </is>
      </c>
      <c r="B6" s="8" t="inlineStr">
        <is>
          <t>%</t>
        </is>
      </c>
      <c r="C6" s="14" t="n"/>
      <c r="D6" s="14" t="n"/>
      <c r="E6" s="15">
        <f>(E21*1000000) / (E4*1000000) - 1</f>
        <v>0.001</v>
      </c>
      <c r="F6" s="16">
        <f>(F21*1000000) / (F4*1000000) - 1</f>
        <v>0</v>
      </c>
      <c r="G6" s="16">
        <f>(G21*1000000) / (G4*1000000) - 1</f>
        <v>0</v>
      </c>
      <c r="H6" s="28" t="n"/>
      <c r="I6" s="28" t="n"/>
    </row>
    <row r="7" outlineLevel="1">
      <c r="A7" s="13" t="inlineStr">
        <is>
          <t xml:space="preserve">  Diluted EPS vs Consensus</t>
        </is>
      </c>
      <c r="B7" s="8" t="inlineStr">
        <is>
          <t>%</t>
        </is>
      </c>
      <c r="C7" s="14" t="n"/>
      <c r="D7" s="14" t="n"/>
      <c r="E7" s="15">
        <f>'Model'!E57 / E5 - 1</f>
        <v>0.011</v>
      </c>
      <c r="F7" s="16">
        <f>'Model'!F57 / F5 - 1</f>
        <v>-0.004</v>
      </c>
      <c r="G7" s="16">
        <f>'Model'!G57 / G5 - 1</f>
        <v>0.007</v>
      </c>
      <c r="H7" s="28" t="n"/>
      <c r="I7" s="28" t="n"/>
    </row>
    <row r="8">
      <c r="A8" s="5" t="inlineStr">
        <is>
          <t>Revenue Growth Drivers</t>
        </is>
      </c>
      <c r="B8" s="6" t="n"/>
      <c r="C8" s="6" t="n"/>
      <c r="D8" s="6" t="n"/>
      <c r="E8" s="6" t="n"/>
      <c r="F8" s="6" t="n"/>
      <c r="G8" s="6" t="n"/>
      <c r="H8" s="6" t="n"/>
      <c r="I8" s="6" t="n"/>
    </row>
    <row r="9" outlineLevel="1">
      <c r="A9" s="7" t="inlineStr">
        <is>
          <t xml:space="preserve">  iPhone Revenue Growth</t>
        </is>
      </c>
      <c r="B9" s="8" t="inlineStr">
        <is>
          <t>%</t>
        </is>
      </c>
      <c r="C9" s="9" t="n"/>
      <c r="D9" s="24">
        <f>(D15*1000000) / (C15*1000000) - 1</f>
        <v>0.003</v>
      </c>
      <c r="E9" s="24">
        <f>(E15*1000000) / (D15*1000000) - 1</f>
        <v>0.042</v>
      </c>
      <c r="F9" s="29">
        <f>(F15*1000000) / (E15*1000000) - 1</f>
        <v>0.212</v>
      </c>
      <c r="G9" s="29">
        <f>(G15*1000000) / (F15*1000000) - 1</f>
        <v>0.09</v>
      </c>
      <c r="H9" s="25" t="n">
        <v>0.03</v>
      </c>
      <c r="I9" s="25" t="n">
        <v>0.025</v>
      </c>
    </row>
    <row r="10" outlineLevel="1">
      <c r="A10" s="7" t="inlineStr">
        <is>
          <t xml:space="preserve">  Mac Revenue Growth</t>
        </is>
      </c>
      <c r="B10" s="8" t="inlineStr">
        <is>
          <t>%</t>
        </is>
      </c>
      <c r="C10" s="9" t="n"/>
      <c r="D10" s="24">
        <f>(D16*1000000) / (C16*1000000) - 1</f>
        <v>0.021</v>
      </c>
      <c r="E10" s="24">
        <f>(E16*1000000) / (D16*1000000) - 1</f>
        <v>0.124</v>
      </c>
      <c r="F10" s="25" t="n">
        <v>0.05</v>
      </c>
      <c r="G10" s="25" t="n">
        <v>0.04</v>
      </c>
      <c r="H10" s="25" t="n">
        <v>0.03</v>
      </c>
      <c r="I10" s="25" t="n">
        <v>0.03</v>
      </c>
    </row>
    <row r="11" outlineLevel="1">
      <c r="A11" s="7" t="inlineStr">
        <is>
          <t xml:space="preserve">  iPad Revenue Growth</t>
        </is>
      </c>
      <c r="B11" s="8" t="inlineStr">
        <is>
          <t>%</t>
        </is>
      </c>
      <c r="C11" s="9" t="n"/>
      <c r="D11" s="24">
        <f>(D17*1000000) / (C17*1000000) - 1</f>
        <v>-0.057</v>
      </c>
      <c r="E11" s="24">
        <f>(E17*1000000) / (D17*1000000) - 1</f>
        <v>0.05</v>
      </c>
      <c r="F11" s="25" t="n">
        <v>0.04</v>
      </c>
      <c r="G11" s="25" t="n">
        <v>0.03</v>
      </c>
      <c r="H11" s="25" t="n">
        <v>0.025</v>
      </c>
      <c r="I11" s="25" t="n">
        <v>0.025</v>
      </c>
    </row>
    <row r="12" outlineLevel="1">
      <c r="A12" s="7" t="inlineStr">
        <is>
          <t xml:space="preserve">  Wearables / Home / Accessories Growth</t>
        </is>
      </c>
      <c r="B12" s="8" t="inlineStr">
        <is>
          <t>%</t>
        </is>
      </c>
      <c r="C12" s="9" t="n"/>
      <c r="D12" s="24">
        <f>(D18*1000000) / (C18*1000000) - 1</f>
        <v>-0.071</v>
      </c>
      <c r="E12" s="24">
        <f>(E18*1000000) / (D18*1000000) - 1</f>
        <v>-0.036</v>
      </c>
      <c r="F12" s="25" t="n">
        <v>0.03</v>
      </c>
      <c r="G12" s="25" t="n">
        <v>0.025</v>
      </c>
      <c r="H12" s="25" t="n">
        <v>0.025</v>
      </c>
      <c r="I12" s="25" t="n">
        <v>0.025</v>
      </c>
    </row>
    <row r="13" outlineLevel="1">
      <c r="A13" s="7" t="inlineStr">
        <is>
          <t xml:space="preserve">  Services Revenue Growth</t>
        </is>
      </c>
      <c r="B13" s="8" t="inlineStr">
        <is>
          <t>%</t>
        </is>
      </c>
      <c r="C13" s="9" t="n"/>
      <c r="D13" s="24">
        <f>(D20*1000000) / (C20*1000000) - 1</f>
        <v>0.129</v>
      </c>
      <c r="E13" s="24">
        <f>(E20*1000000) / (D20*1000000) - 1</f>
        <v>0.135</v>
      </c>
      <c r="F13" s="25" t="n">
        <v>0.125</v>
      </c>
      <c r="G13" s="25" t="n">
        <v>0.11</v>
      </c>
      <c r="H13" s="25" t="n">
        <v>0.1</v>
      </c>
      <c r="I13" s="25" t="n">
        <v>0.09</v>
      </c>
    </row>
    <row r="14">
      <c r="A14" s="5" t="inlineStr">
        <is>
          <t>Revenue Build</t>
        </is>
      </c>
      <c r="B14" s="6" t="n"/>
      <c r="C14" s="6" t="n"/>
      <c r="D14" s="6" t="n"/>
      <c r="E14" s="6" t="n"/>
      <c r="F14" s="6" t="n"/>
      <c r="G14" s="6" t="n"/>
      <c r="H14" s="6" t="n"/>
      <c r="I14" s="6" t="n"/>
    </row>
    <row r="15" outlineLevel="1">
      <c r="A15" s="13" t="inlineStr">
        <is>
          <t xml:space="preserve">  iPhone Net Sales</t>
        </is>
      </c>
      <c r="B15" s="8" t="inlineStr">
        <is>
          <t>$m</t>
        </is>
      </c>
      <c r="C15" s="20" t="n">
        <v>200583</v>
      </c>
      <c r="D15" s="20" t="n">
        <v>201183</v>
      </c>
      <c r="E15" s="20" t="n">
        <v>209586</v>
      </c>
      <c r="F15" s="22">
        <f>(((F4*1000000) - (F16*1000000) - (F17*1000000) - (F18*1000000) - (F20*1000000))/1000000)</f>
        <v>253987.2</v>
      </c>
      <c r="G15" s="22">
        <f>(((G4*1000000) - (G16*1000000) - (G17*1000000) - (G18*1000000) - (G20*1000000))/1000000)</f>
        <v>276776.5</v>
      </c>
      <c r="H15" s="22">
        <f>(((G15*1000000) * (1 + H9))/1000000)</f>
        <v>285079.8</v>
      </c>
      <c r="I15" s="22">
        <f>(((H15*1000000) * (1 + I9))/1000000)</f>
        <v>292206.8</v>
      </c>
    </row>
    <row r="16" outlineLevel="1">
      <c r="A16" s="13" t="inlineStr">
        <is>
          <t xml:space="preserve">  Mac Net Sales</t>
        </is>
      </c>
      <c r="B16" s="8" t="inlineStr">
        <is>
          <t>$m</t>
        </is>
      </c>
      <c r="C16" s="20" t="n">
        <v>29357</v>
      </c>
      <c r="D16" s="20" t="n">
        <v>29984</v>
      </c>
      <c r="E16" s="20" t="n">
        <v>33708</v>
      </c>
      <c r="F16" s="22">
        <f>(((E16*1000000) * (1 + F10))/1000000)</f>
        <v>35393.4</v>
      </c>
      <c r="G16" s="22">
        <f>(((F16*1000000) * (1 + G10))/1000000)</f>
        <v>36809.1</v>
      </c>
      <c r="H16" s="22">
        <f>(((G16*1000000) * (1 + H10))/1000000)</f>
        <v>37913.4</v>
      </c>
      <c r="I16" s="22">
        <f>(((H16*1000000) * (1 + I10))/1000000)</f>
        <v>39050.8</v>
      </c>
    </row>
    <row r="17" outlineLevel="1">
      <c r="A17" s="13" t="inlineStr">
        <is>
          <t xml:space="preserve">  iPad Net Sales</t>
        </is>
      </c>
      <c r="B17" s="8" t="inlineStr">
        <is>
          <t>$m</t>
        </is>
      </c>
      <c r="C17" s="20" t="n">
        <v>28300</v>
      </c>
      <c r="D17" s="20" t="n">
        <v>26694</v>
      </c>
      <c r="E17" s="20" t="n">
        <v>28023</v>
      </c>
      <c r="F17" s="22">
        <f>(((E17*1000000) * (1 + F11))/1000000)</f>
        <v>29143.9</v>
      </c>
      <c r="G17" s="22">
        <f>(((F17*1000000) * (1 + G11))/1000000)</f>
        <v>30018.2</v>
      </c>
      <c r="H17" s="22">
        <f>(((G17*1000000) * (1 + H11))/1000000)</f>
        <v>30768.7</v>
      </c>
      <c r="I17" s="22">
        <f>(((H17*1000000) * (1 + I11))/1000000)</f>
        <v>31537.9</v>
      </c>
    </row>
    <row r="18" outlineLevel="1">
      <c r="A18" s="13" t="inlineStr">
        <is>
          <t xml:space="preserve">  Wearables, Home and Accessories Net Sales</t>
        </is>
      </c>
      <c r="B18" s="8" t="inlineStr">
        <is>
          <t>$m</t>
        </is>
      </c>
      <c r="C18" s="20" t="n">
        <v>39845</v>
      </c>
      <c r="D18" s="20" t="n">
        <v>37005</v>
      </c>
      <c r="E18" s="20" t="n">
        <v>35686</v>
      </c>
      <c r="F18" s="22">
        <f>(((E18*1000000) * (1 + F12))/1000000)</f>
        <v>36756.6</v>
      </c>
      <c r="G18" s="22">
        <f>(((F18*1000000) * (1 + G12))/1000000)</f>
        <v>37675.5</v>
      </c>
      <c r="H18" s="22">
        <f>(((G18*1000000) * (1 + H12))/1000000)</f>
        <v>38617.4</v>
      </c>
      <c r="I18" s="22">
        <f>(((H18*1000000) * (1 + I12))/1000000)</f>
        <v>39582.8</v>
      </c>
    </row>
    <row r="19">
      <c r="A19" s="7" t="inlineStr">
        <is>
          <t>Products Net Sales</t>
        </is>
      </c>
      <c r="B19" s="8" t="inlineStr">
        <is>
          <t>$m</t>
        </is>
      </c>
      <c r="C19" s="10">
        <f>(((C15*1000000) + (C16*1000000) + (C17*1000000) + (C18*1000000))/1000000)</f>
        <v>298085</v>
      </c>
      <c r="D19" s="10">
        <f>(((D15*1000000) + (D16*1000000) + (D17*1000000) + (D18*1000000))/1000000)</f>
        <v>294866</v>
      </c>
      <c r="E19" s="10">
        <f>(((E15*1000000) + (E16*1000000) + (E17*1000000) + (E18*1000000))/1000000)</f>
        <v>307003</v>
      </c>
      <c r="F19" s="23">
        <f>(((F15*1000000) + (F16*1000000) + (F17*1000000) + (F18*1000000))/1000000)</f>
        <v>355281.1</v>
      </c>
      <c r="G19" s="23">
        <f>(((G15*1000000) + (G16*1000000) + (G17*1000000) + (G18*1000000))/1000000)</f>
        <v>381279.4</v>
      </c>
      <c r="H19" s="23">
        <f>(((H15*1000000) + (H16*1000000) + (H17*1000000) + (H18*1000000))/1000000)</f>
        <v>392379.3</v>
      </c>
      <c r="I19" s="23">
        <f>(((I15*1000000) + (I16*1000000) + (I17*1000000) + (I18*1000000))/1000000)</f>
        <v>402378.4</v>
      </c>
    </row>
    <row r="20" outlineLevel="1">
      <c r="A20" s="13" t="inlineStr">
        <is>
          <t xml:space="preserve">  Services Net Sales</t>
        </is>
      </c>
      <c r="B20" s="8" t="inlineStr">
        <is>
          <t>$m</t>
        </is>
      </c>
      <c r="C20" s="20" t="n">
        <v>85200</v>
      </c>
      <c r="D20" s="20" t="n">
        <v>96169</v>
      </c>
      <c r="E20" s="20" t="n">
        <v>109158</v>
      </c>
      <c r="F20" s="22">
        <f>(((E20*1000000) * (1 + F13))/1000000)</f>
        <v>122802.8</v>
      </c>
      <c r="G20" s="22">
        <f>(((F20*1000000) * (1 + G13))/1000000)</f>
        <v>136311.1</v>
      </c>
      <c r="H20" s="22">
        <f>(((G20*1000000) * (1 + H13))/1000000)</f>
        <v>149942.2</v>
      </c>
      <c r="I20" s="22">
        <f>(((H20*1000000) * (1 + I13))/1000000)</f>
        <v>163437</v>
      </c>
    </row>
    <row r="21">
      <c r="A21" s="7" t="inlineStr">
        <is>
          <t>Total Net Sales</t>
        </is>
      </c>
      <c r="B21" s="8" t="inlineStr">
        <is>
          <t>$m</t>
        </is>
      </c>
      <c r="C21" s="10">
        <f>(((C19*1000000) + (C20*1000000))/1000000)</f>
        <v>383285</v>
      </c>
      <c r="D21" s="10">
        <f>(((D19*1000000) + (D20*1000000))/1000000)</f>
        <v>391035</v>
      </c>
      <c r="E21" s="10">
        <f>(((E19*1000000) + (E20*1000000))/1000000)</f>
        <v>416161</v>
      </c>
      <c r="F21" s="23">
        <f>(((F19*1000000) + (F20*1000000))/1000000)</f>
        <v>478083.8</v>
      </c>
      <c r="G21" s="23">
        <f>(((G19*1000000) + (G20*1000000))/1000000)</f>
        <v>517590.4</v>
      </c>
      <c r="H21" s="23">
        <f>(((H19*1000000) + (H20*1000000))/1000000)</f>
        <v>542321.5</v>
      </c>
      <c r="I21" s="23">
        <f>(((I19*1000000) + (I20*1000000))/1000000)</f>
        <v>565815.3</v>
      </c>
    </row>
    <row r="22" outlineLevel="1">
      <c r="A22" s="13" t="inlineStr">
        <is>
          <t xml:space="preserve">  Total Net Sales Growth</t>
        </is>
      </c>
      <c r="B22" s="8" t="inlineStr">
        <is>
          <t>%</t>
        </is>
      </c>
      <c r="C22" s="14" t="n"/>
      <c r="D22" s="15">
        <f>(D21*1000000) / (C21*1000000) - 1</f>
        <v>0.02</v>
      </c>
      <c r="E22" s="15">
        <f>(E21*1000000) / (D21*1000000) - 1</f>
        <v>0.064</v>
      </c>
      <c r="F22" s="16">
        <f>(F21*1000000) / (E21*1000000) - 1</f>
        <v>0.149</v>
      </c>
      <c r="G22" s="16">
        <f>(G21*1000000) / (F21*1000000) - 1</f>
        <v>0.083</v>
      </c>
      <c r="H22" s="16">
        <f>(H21*1000000) / (G21*1000000) - 1</f>
        <v>0.048</v>
      </c>
      <c r="I22" s="16">
        <f>(I21*1000000) / (H21*1000000) - 1</f>
        <v>0.043</v>
      </c>
    </row>
    <row r="23">
      <c r="A23" s="5" t="inlineStr">
        <is>
          <t>Gross Margin Build</t>
        </is>
      </c>
      <c r="B23" s="6" t="n"/>
      <c r="C23" s="6" t="n"/>
      <c r="D23" s="6" t="n"/>
      <c r="E23" s="6" t="n"/>
      <c r="F23" s="6" t="n"/>
      <c r="G23" s="6" t="n"/>
      <c r="H23" s="6" t="n"/>
      <c r="I23" s="6" t="n"/>
    </row>
    <row r="24" outlineLevel="1">
      <c r="A24" s="13" t="inlineStr">
        <is>
          <t xml:space="preserve">  Products Gross Margin %</t>
        </is>
      </c>
      <c r="B24" s="8" t="inlineStr">
        <is>
          <t>%</t>
        </is>
      </c>
      <c r="C24" s="15">
        <f>(C28*1000000) / (C19*1000000)</f>
        <v>0.365</v>
      </c>
      <c r="D24" s="15">
        <f>(D28*1000000) / (D19*1000000)</f>
        <v>0.372</v>
      </c>
      <c r="E24" s="15">
        <f>(E28*1000000) / (E19*1000000)</f>
        <v>0.368</v>
      </c>
      <c r="F24" s="17" t="n">
        <v>0.36</v>
      </c>
      <c r="G24" s="17" t="n">
        <v>0.362</v>
      </c>
      <c r="H24" s="17" t="n">
        <v>0.364</v>
      </c>
      <c r="I24" s="17" t="n">
        <v>0.365</v>
      </c>
    </row>
    <row r="25" outlineLevel="1">
      <c r="A25" s="13" t="inlineStr">
        <is>
          <t xml:space="preserve">  Services Gross Margin %</t>
        </is>
      </c>
      <c r="B25" s="8" t="inlineStr">
        <is>
          <t>%</t>
        </is>
      </c>
      <c r="C25" s="15">
        <f>(C29*1000000) / (C20*1000000)</f>
        <v>0.708</v>
      </c>
      <c r="D25" s="15">
        <f>(D29*1000000) / (D20*1000000)</f>
        <v>0.739</v>
      </c>
      <c r="E25" s="15">
        <f>(E29*1000000) / (E20*1000000)</f>
        <v>0.754</v>
      </c>
      <c r="F25" s="17" t="n">
        <v>0.755</v>
      </c>
      <c r="G25" s="17" t="n">
        <v>0.76</v>
      </c>
      <c r="H25" s="17" t="n">
        <v>0.763</v>
      </c>
      <c r="I25" s="17" t="n">
        <v>0.765</v>
      </c>
    </row>
    <row r="26" outlineLevel="1">
      <c r="A26" s="13" t="inlineStr">
        <is>
          <t xml:space="preserve">  Products Cost of Sales</t>
        </is>
      </c>
      <c r="B26" s="8" t="inlineStr">
        <is>
          <t>$m</t>
        </is>
      </c>
      <c r="C26" s="20" t="n">
        <v>-189282</v>
      </c>
      <c r="D26" s="20" t="n">
        <v>-185233</v>
      </c>
      <c r="E26" s="20" t="n">
        <v>-194116</v>
      </c>
      <c r="F26" s="22">
        <f>(((F19*1000000) * (F24 - 1))/1000000)</f>
        <v>-227379.9</v>
      </c>
      <c r="G26" s="22">
        <f>(((G19*1000000) * (G24 - 1))/1000000)</f>
        <v>-243256.2</v>
      </c>
      <c r="H26" s="22">
        <f>(((H19*1000000) * (H24 - 1))/1000000)</f>
        <v>-249553.2</v>
      </c>
      <c r="I26" s="22">
        <f>(((I19*1000000) * (I24 - 1))/1000000)</f>
        <v>-255510.3</v>
      </c>
    </row>
    <row r="27" outlineLevel="1">
      <c r="A27" s="13" t="inlineStr">
        <is>
          <t xml:space="preserve">  Services Cost of Sales</t>
        </is>
      </c>
      <c r="B27" s="8" t="inlineStr">
        <is>
          <t>$m</t>
        </is>
      </c>
      <c r="C27" s="20" t="n">
        <v>-24855</v>
      </c>
      <c r="D27" s="20" t="n">
        <v>-25119</v>
      </c>
      <c r="E27" s="20" t="n">
        <v>-26844</v>
      </c>
      <c r="F27" s="22">
        <f>(((F20*1000000) * (F25 - 1))/1000000)</f>
        <v>-30086.7</v>
      </c>
      <c r="G27" s="22">
        <f>(((G20*1000000) * (G25 - 1))/1000000)</f>
        <v>-32714.7</v>
      </c>
      <c r="H27" s="22">
        <f>(((H20*1000000) * (H25 - 1))/1000000)</f>
        <v>-35536.3</v>
      </c>
      <c r="I27" s="22">
        <f>(((I20*1000000) * (I25 - 1))/1000000)</f>
        <v>-38407.7</v>
      </c>
    </row>
    <row r="28" outlineLevel="1">
      <c r="A28" s="13" t="inlineStr">
        <is>
          <t xml:space="preserve">  Products Gross Profit</t>
        </is>
      </c>
      <c r="B28" s="8" t="inlineStr">
        <is>
          <t>$m</t>
        </is>
      </c>
      <c r="C28" s="20">
        <f>(((C19*1000000) + (C26*1000000))/1000000)</f>
        <v>108803</v>
      </c>
      <c r="D28" s="20">
        <f>(((D19*1000000) + (D26*1000000))/1000000)</f>
        <v>109633</v>
      </c>
      <c r="E28" s="20">
        <f>(((E19*1000000) + (E26*1000000))/1000000)</f>
        <v>112887</v>
      </c>
      <c r="F28" s="22">
        <f>(((F19*1000000) + (F26*1000000))/1000000)</f>
        <v>127901.2</v>
      </c>
      <c r="G28" s="22">
        <f>(((G19*1000000) + (G26*1000000))/1000000)</f>
        <v>138023.1</v>
      </c>
      <c r="H28" s="22">
        <f>(((H19*1000000) + (H26*1000000))/1000000)</f>
        <v>142826.1</v>
      </c>
      <c r="I28" s="22">
        <f>(((I19*1000000) + (I26*1000000))/1000000)</f>
        <v>146868.1</v>
      </c>
    </row>
    <row r="29" outlineLevel="1">
      <c r="A29" s="13" t="inlineStr">
        <is>
          <t xml:space="preserve">  Services Gross Profit</t>
        </is>
      </c>
      <c r="B29" s="8" t="inlineStr">
        <is>
          <t>$m</t>
        </is>
      </c>
      <c r="C29" s="20">
        <f>(((C20*1000000) + (C27*1000000))/1000000)</f>
        <v>60345</v>
      </c>
      <c r="D29" s="20">
        <f>(((D20*1000000) + (D27*1000000))/1000000)</f>
        <v>71050</v>
      </c>
      <c r="E29" s="20">
        <f>(((E20*1000000) + (E27*1000000))/1000000)</f>
        <v>82314</v>
      </c>
      <c r="F29" s="22">
        <f>(((F20*1000000) + (F27*1000000))/1000000)</f>
        <v>92716.1</v>
      </c>
      <c r="G29" s="22">
        <f>(((G20*1000000) + (G27*1000000))/1000000)</f>
        <v>103596.4</v>
      </c>
      <c r="H29" s="22">
        <f>(((H20*1000000) + (H27*1000000))/1000000)</f>
        <v>114405.9</v>
      </c>
      <c r="I29" s="22">
        <f>(((I20*1000000) + (I27*1000000))/1000000)</f>
        <v>125029.3</v>
      </c>
    </row>
    <row r="30">
      <c r="A30" s="7" t="inlineStr">
        <is>
          <t>Gross Profit</t>
        </is>
      </c>
      <c r="B30" s="8" t="inlineStr">
        <is>
          <t>$m</t>
        </is>
      </c>
      <c r="C30" s="10">
        <f>(((C21*1000000) + ('Model'!C37*1000000))/1000000)</f>
        <v>169148</v>
      </c>
      <c r="D30" s="10">
        <f>(((D21*1000000) + ('Model'!D37*1000000))/1000000)</f>
        <v>180683</v>
      </c>
      <c r="E30" s="10">
        <f>(((E21*1000000) + ('Model'!E37*1000000))/1000000)</f>
        <v>195201</v>
      </c>
      <c r="F30" s="23">
        <f>(((F21*1000000) + ('Model'!F37*1000000))/1000000)</f>
        <v>220617.3</v>
      </c>
      <c r="G30" s="23">
        <f>(((G21*1000000) + ('Model'!G37*1000000))/1000000)</f>
        <v>241619.5</v>
      </c>
      <c r="H30" s="23">
        <f>(((H21*1000000) + ('Model'!H37*1000000))/1000000)</f>
        <v>257231.9</v>
      </c>
      <c r="I30" s="23">
        <f>(((I21*1000000) + ('Model'!I37*1000000))/1000000)</f>
        <v>271897.4</v>
      </c>
    </row>
    <row r="31" outlineLevel="1">
      <c r="A31" s="13" t="inlineStr">
        <is>
          <t xml:space="preserve">  Gross Margin %</t>
        </is>
      </c>
      <c r="B31" s="8" t="inlineStr">
        <is>
          <t>%</t>
        </is>
      </c>
      <c r="C31" s="15">
        <f>(C30*1000000) / (C21*1000000)</f>
        <v>0.441</v>
      </c>
      <c r="D31" s="15">
        <f>(D30*1000000) / (D21*1000000)</f>
        <v>0.462</v>
      </c>
      <c r="E31" s="15">
        <f>(E30*1000000) / (E21*1000000)</f>
        <v>0.469</v>
      </c>
      <c r="F31" s="16">
        <f>(F30*1000000) / (F21*1000000)</f>
        <v>0.461</v>
      </c>
      <c r="G31" s="16">
        <f>(G30*1000000) / (G21*1000000)</f>
        <v>0.467</v>
      </c>
      <c r="H31" s="16">
        <f>(H30*1000000) / (H21*1000000)</f>
        <v>0.474</v>
      </c>
      <c r="I31" s="16">
        <f>(I30*1000000) / (I21*1000000)</f>
        <v>0.481</v>
      </c>
    </row>
  </sheetData>
  <pageMargins left="0.75" right="0.75" top="1" bottom="1" header="0.5" footer="0.5"/>
  <legacyDrawing r:id="anysvml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1"/>
    <pageSetUpPr/>
  </sheetPr>
  <dimension ref="A1:I29"/>
  <sheetViews>
    <sheetView showGridLines="0" zoomScale="85" zoomScaleNormal="85" workbookViewId="0">
      <pane xSplit="2" ySplit="2" topLeftCell="C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>
      <c r="C1" s="1" t="inlineStr">
        <is>
          <t>2023</t>
        </is>
      </c>
      <c r="D1" s="1" t="inlineStr">
        <is>
          <t>2024</t>
        </is>
      </c>
      <c r="E1" s="1" t="inlineStr">
        <is>
          <t>2025</t>
        </is>
      </c>
      <c r="F1" s="1" t="inlineStr">
        <is>
          <t>2026</t>
        </is>
      </c>
      <c r="G1" s="1" t="inlineStr">
        <is>
          <t>2027</t>
        </is>
      </c>
      <c r="H1" s="1" t="inlineStr">
        <is>
          <t>2028</t>
        </is>
      </c>
      <c r="I1" s="1" t="inlineStr">
        <is>
          <t>2029</t>
        </is>
      </c>
    </row>
    <row r="2">
      <c r="A2" s="2" t="inlineStr">
        <is>
          <t>Metric</t>
        </is>
      </c>
      <c r="B2" s="3" t="inlineStr">
        <is>
          <t>Units</t>
        </is>
      </c>
      <c r="C2" s="3" t="inlineStr">
        <is>
          <t>FY23</t>
        </is>
      </c>
      <c r="D2" s="3" t="inlineStr">
        <is>
          <t>FY24</t>
        </is>
      </c>
      <c r="E2" s="3" t="inlineStr">
        <is>
          <t>FY25</t>
        </is>
      </c>
      <c r="F2" s="4" t="inlineStr">
        <is>
          <t>FY26E</t>
        </is>
      </c>
      <c r="G2" s="4" t="inlineStr">
        <is>
          <t>FY27E</t>
        </is>
      </c>
      <c r="H2" s="4" t="inlineStr">
        <is>
          <t>FY28E</t>
        </is>
      </c>
      <c r="I2" s="4" t="inlineStr">
        <is>
          <t>FY29E</t>
        </is>
      </c>
    </row>
    <row r="3">
      <c r="A3" s="5" t="inlineStr">
        <is>
          <t>Working Capital Drivers</t>
        </is>
      </c>
      <c r="B3" s="6" t="n"/>
      <c r="C3" s="6" t="n"/>
      <c r="D3" s="6" t="n"/>
      <c r="E3" s="6" t="n"/>
      <c r="F3" s="6" t="n"/>
      <c r="G3" s="6" t="n"/>
      <c r="H3" s="6" t="n"/>
      <c r="I3" s="6" t="n"/>
    </row>
    <row r="4" outlineLevel="1">
      <c r="A4" s="7" t="inlineStr">
        <is>
          <t xml:space="preserve">  Accounts Receivable Days</t>
        </is>
      </c>
      <c r="B4" s="8" t="inlineStr">
        <is>
          <t>#</t>
        </is>
      </c>
      <c r="C4" s="10">
        <f>(C13*1000000) / ('Model'!C33*1000000) * 365</f>
        <v>28.1</v>
      </c>
      <c r="D4" s="10">
        <f>(D13*1000000) / ('Model'!D33*1000000) * 365</f>
        <v>31.2</v>
      </c>
      <c r="E4" s="10">
        <f>(E13*1000000) / ('Model'!E33*1000000) * 365</f>
        <v>34.9</v>
      </c>
      <c r="F4" s="11" t="n">
        <v>33.5</v>
      </c>
      <c r="G4" s="11" t="n">
        <v>33</v>
      </c>
      <c r="H4" s="11" t="n">
        <v>33</v>
      </c>
      <c r="I4" s="11" t="n">
        <v>33</v>
      </c>
    </row>
    <row r="5" outlineLevel="1">
      <c r="A5" s="7" t="inlineStr">
        <is>
          <t xml:space="preserve">  Vendor Non-Trade Receivables / COGS</t>
        </is>
      </c>
      <c r="B5" s="8" t="inlineStr">
        <is>
          <t>%</t>
        </is>
      </c>
      <c r="C5" s="24">
        <f>(C14*1000000) / -('Model'!C37*1000000)</f>
        <v>0.147</v>
      </c>
      <c r="D5" s="24">
        <f>(D14*1000000) / -('Model'!D37*1000000)</f>
        <v>0.156</v>
      </c>
      <c r="E5" s="24">
        <f>(E14*1000000) / -('Model'!E37*1000000)</f>
        <v>0.15</v>
      </c>
      <c r="F5" s="25" t="n">
        <v>0.15</v>
      </c>
      <c r="G5" s="25" t="n">
        <v>0.15</v>
      </c>
      <c r="H5" s="25" t="n">
        <v>0.15</v>
      </c>
      <c r="I5" s="25" t="n">
        <v>0.15</v>
      </c>
    </row>
    <row r="6" outlineLevel="1">
      <c r="A6" s="7" t="inlineStr">
        <is>
          <t xml:space="preserve">  Inventory Days</t>
        </is>
      </c>
      <c r="B6" s="8" t="inlineStr">
        <is>
          <t>#</t>
        </is>
      </c>
      <c r="C6" s="10">
        <f>(C15*1000000) / -('Model'!C37*1000000) * 365</f>
        <v>10.8</v>
      </c>
      <c r="D6" s="10">
        <f>(D15*1000000) / -('Model'!D37*1000000) * 365</f>
        <v>12.6</v>
      </c>
      <c r="E6" s="10">
        <f>(E15*1000000) / -('Model'!E37*1000000) * 365</f>
        <v>9.4</v>
      </c>
      <c r="F6" s="11" t="n">
        <v>10</v>
      </c>
      <c r="G6" s="11" t="n">
        <v>10</v>
      </c>
      <c r="H6" s="11" t="n">
        <v>10</v>
      </c>
      <c r="I6" s="11" t="n">
        <v>10</v>
      </c>
    </row>
    <row r="7" outlineLevel="1">
      <c r="A7" s="7" t="inlineStr">
        <is>
          <t xml:space="preserve">  Other Current Assets / Revenue</t>
        </is>
      </c>
      <c r="B7" s="8" t="inlineStr">
        <is>
          <t>%</t>
        </is>
      </c>
      <c r="C7" s="24">
        <f>(C16*1000000) / ('Model'!C33*1000000)</f>
        <v>0.038</v>
      </c>
      <c r="D7" s="24">
        <f>(D16*1000000) / ('Model'!D33*1000000)</f>
        <v>0.037</v>
      </c>
      <c r="E7" s="24">
        <f>(E16*1000000) / ('Model'!E33*1000000)</f>
        <v>0.035</v>
      </c>
      <c r="F7" s="25" t="n">
        <v>0.035</v>
      </c>
      <c r="G7" s="25" t="n">
        <v>0.035</v>
      </c>
      <c r="H7" s="25" t="n">
        <v>0.035</v>
      </c>
      <c r="I7" s="25" t="n">
        <v>0.035</v>
      </c>
    </row>
    <row r="8" outlineLevel="1">
      <c r="A8" s="7" t="inlineStr">
        <is>
          <t xml:space="preserve">  Accounts Payable Days</t>
        </is>
      </c>
      <c r="B8" s="8" t="inlineStr">
        <is>
          <t>#</t>
        </is>
      </c>
      <c r="C8" s="10">
        <f>(C17*1000000) / -('Model'!C37*1000000) * 365</f>
        <v>106.7</v>
      </c>
      <c r="D8" s="10">
        <f>(D17*1000000) / -('Model'!D37*1000000) * 365</f>
        <v>119.7</v>
      </c>
      <c r="E8" s="10">
        <f>(E17*1000000) / -('Model'!E37*1000000) * 365</f>
        <v>115.4</v>
      </c>
      <c r="F8" s="11" t="n">
        <v>112</v>
      </c>
      <c r="G8" s="11" t="n">
        <v>112</v>
      </c>
      <c r="H8" s="11" t="n">
        <v>112</v>
      </c>
      <c r="I8" s="11" t="n">
        <v>112</v>
      </c>
    </row>
    <row r="9" outlineLevel="1">
      <c r="A9" s="7" t="inlineStr">
        <is>
          <t xml:space="preserve">  Other Current Liabilities / Revenue</t>
        </is>
      </c>
      <c r="B9" s="8" t="inlineStr">
        <is>
          <t>%</t>
        </is>
      </c>
      <c r="C9" s="24">
        <f>(C18*1000000) / ('Model'!C33*1000000)</f>
        <v>0.153</v>
      </c>
      <c r="D9" s="24">
        <f>(D18*1000000) / ('Model'!D33*1000000)</f>
        <v>0.2</v>
      </c>
      <c r="E9" s="24">
        <f>(E18*1000000) / ('Model'!E33*1000000)</f>
        <v>0.16</v>
      </c>
      <c r="F9" s="25" t="n">
        <v>0.15</v>
      </c>
      <c r="G9" s="25" t="n">
        <v>0.15</v>
      </c>
      <c r="H9" s="25" t="n">
        <v>0.15</v>
      </c>
      <c r="I9" s="25" t="n">
        <v>0.15</v>
      </c>
    </row>
    <row r="10" outlineLevel="1">
      <c r="A10" s="7" t="inlineStr">
        <is>
          <t xml:space="preserve">  Deferred Revenue / Services Revenue</t>
        </is>
      </c>
      <c r="B10" s="8" t="inlineStr">
        <is>
          <t>%</t>
        </is>
      </c>
      <c r="C10" s="24">
        <f>(C19*1000000) / ('Model'!C32*1000000)</f>
        <v>0.095</v>
      </c>
      <c r="D10" s="24">
        <f>(D19*1000000) / ('Model'!D32*1000000)</f>
        <v>0.086</v>
      </c>
      <c r="E10" s="24">
        <f>(E19*1000000) / ('Model'!E32*1000000)</f>
        <v>0.083</v>
      </c>
      <c r="F10" s="25" t="n">
        <v>0.08</v>
      </c>
      <c r="G10" s="25" t="n">
        <v>0.08</v>
      </c>
      <c r="H10" s="25" t="n">
        <v>0.08</v>
      </c>
      <c r="I10" s="25" t="n">
        <v>0.08</v>
      </c>
    </row>
    <row r="11" outlineLevel="1">
      <c r="A11" s="7" t="inlineStr">
        <is>
          <t xml:space="preserve">  Other Non-Current Liabilities / Revenue</t>
        </is>
      </c>
      <c r="B11" s="8" t="inlineStr">
        <is>
          <t>%</t>
        </is>
      </c>
      <c r="C11" s="24">
        <f>(C20*1000000) / ('Model'!C33*1000000)</f>
        <v>0.13</v>
      </c>
      <c r="D11" s="24">
        <f>(D20*1000000) / ('Model'!D33*1000000)</f>
        <v>0.117</v>
      </c>
      <c r="E11" s="24">
        <f>(E20*1000000) / ('Model'!E33*1000000)</f>
        <v>0.1</v>
      </c>
      <c r="F11" s="25" t="n">
        <v>0.095</v>
      </c>
      <c r="G11" s="25" t="n">
        <v>0.09</v>
      </c>
      <c r="H11" s="25" t="n">
        <v>0.08500000000000001</v>
      </c>
      <c r="I11" s="25" t="n">
        <v>0.08</v>
      </c>
    </row>
    <row r="12">
      <c r="A12" s="5" t="inlineStr">
        <is>
          <t>Operating Asset / Liability Balances</t>
        </is>
      </c>
      <c r="B12" s="6" t="n"/>
      <c r="C12" s="6" t="n"/>
      <c r="D12" s="6" t="n"/>
      <c r="E12" s="6" t="n"/>
      <c r="F12" s="6" t="n"/>
      <c r="G12" s="6" t="n"/>
      <c r="H12" s="6" t="n"/>
      <c r="I12" s="6" t="n"/>
    </row>
    <row r="13" outlineLevel="1">
      <c r="A13" s="7" t="inlineStr">
        <is>
          <t xml:space="preserve">  Accounts Receivable, Net</t>
        </is>
      </c>
      <c r="B13" s="8" t="inlineStr">
        <is>
          <t>$m</t>
        </is>
      </c>
      <c r="C13" s="10" t="n">
        <v>29508</v>
      </c>
      <c r="D13" s="10" t="n">
        <v>33410</v>
      </c>
      <c r="E13" s="10" t="n">
        <v>39777</v>
      </c>
      <c r="F13" s="23">
        <f>((('Model'!F33*1000000) * F4 / 365)/1000000)</f>
        <v>43878.9</v>
      </c>
      <c r="G13" s="23">
        <f>((('Model'!G33*1000000) * G4 / 365)/1000000)</f>
        <v>46795.8</v>
      </c>
      <c r="H13" s="23">
        <f>((('Model'!H33*1000000) * H4 / 365)/1000000)</f>
        <v>49031.8</v>
      </c>
      <c r="I13" s="23">
        <f>((('Model'!I33*1000000) * I4 / 365)/1000000)</f>
        <v>51155.9</v>
      </c>
    </row>
    <row r="14" outlineLevel="1">
      <c r="A14" s="7" t="inlineStr">
        <is>
          <t xml:space="preserve">  Vendor Non-Trade Receivables</t>
        </is>
      </c>
      <c r="B14" s="8" t="inlineStr">
        <is>
          <t>$m</t>
        </is>
      </c>
      <c r="C14" s="10" t="n">
        <v>31477</v>
      </c>
      <c r="D14" s="10" t="n">
        <v>32833</v>
      </c>
      <c r="E14" s="10" t="n">
        <v>33180</v>
      </c>
      <c r="F14" s="23">
        <f>((-('Model'!F37*1000000) * F5)/1000000)</f>
        <v>38620</v>
      </c>
      <c r="G14" s="23">
        <f>((-('Model'!G37*1000000) * G5)/1000000)</f>
        <v>41395.6</v>
      </c>
      <c r="H14" s="23">
        <f>((-('Model'!H37*1000000) * H5)/1000000)</f>
        <v>42763.4</v>
      </c>
      <c r="I14" s="23">
        <f>((-('Model'!I37*1000000) * I5)/1000000)</f>
        <v>44087.7</v>
      </c>
    </row>
    <row r="15" outlineLevel="1">
      <c r="A15" s="7" t="inlineStr">
        <is>
          <t xml:space="preserve">  Inventories</t>
        </is>
      </c>
      <c r="B15" s="8" t="inlineStr">
        <is>
          <t>$m</t>
        </is>
      </c>
      <c r="C15" s="10" t="n">
        <v>6331</v>
      </c>
      <c r="D15" s="10" t="n">
        <v>7286</v>
      </c>
      <c r="E15" s="10" t="n">
        <v>5718</v>
      </c>
      <c r="F15" s="23">
        <f>((-('Model'!F37*1000000) * F6 / 365)/1000000)</f>
        <v>7053.9</v>
      </c>
      <c r="G15" s="23">
        <f>((-('Model'!G37*1000000) * G6 / 365)/1000000)</f>
        <v>7560.8</v>
      </c>
      <c r="H15" s="23">
        <f>((-('Model'!H37*1000000) * H6 / 365)/1000000)</f>
        <v>7810.7</v>
      </c>
      <c r="I15" s="23">
        <f>((-('Model'!I37*1000000) * I6 / 365)/1000000)</f>
        <v>8052.5</v>
      </c>
    </row>
    <row r="16" outlineLevel="1">
      <c r="A16" s="7" t="inlineStr">
        <is>
          <t xml:space="preserve">  Other Current Assets</t>
        </is>
      </c>
      <c r="B16" s="8" t="inlineStr">
        <is>
          <t>$m</t>
        </is>
      </c>
      <c r="C16" s="10" t="n">
        <v>14695</v>
      </c>
      <c r="D16" s="10" t="n">
        <v>14287</v>
      </c>
      <c r="E16" s="10" t="n">
        <v>14585</v>
      </c>
      <c r="F16" s="23">
        <f>((('Model'!F33*1000000) * F7)/1000000)</f>
        <v>16732.9</v>
      </c>
      <c r="G16" s="23">
        <f>((('Model'!G33*1000000) * G7)/1000000)</f>
        <v>18115.7</v>
      </c>
      <c r="H16" s="23">
        <f>((('Model'!H33*1000000) * H7)/1000000)</f>
        <v>18981.3</v>
      </c>
      <c r="I16" s="23">
        <f>((('Model'!I33*1000000) * I7)/1000000)</f>
        <v>19803.5</v>
      </c>
    </row>
    <row r="17" outlineLevel="1">
      <c r="A17" s="7" t="inlineStr">
        <is>
          <t xml:space="preserve">  Accounts Payable</t>
        </is>
      </c>
      <c r="B17" s="8" t="inlineStr">
        <is>
          <t>$m</t>
        </is>
      </c>
      <c r="C17" s="10" t="n">
        <v>62611</v>
      </c>
      <c r="D17" s="10" t="n">
        <v>68960</v>
      </c>
      <c r="E17" s="10" t="n">
        <v>69860</v>
      </c>
      <c r="F17" s="23">
        <f>((-('Model'!F37*1000000) * F8 / 365)/1000000)</f>
        <v>79003.4</v>
      </c>
      <c r="G17" s="23">
        <f>((-('Model'!G37*1000000) * G8 / 365)/1000000)</f>
        <v>84681.5</v>
      </c>
      <c r="H17" s="23">
        <f>((-('Model'!H37*1000000) * H8 / 365)/1000000)</f>
        <v>87479.5</v>
      </c>
      <c r="I17" s="23">
        <f>((-('Model'!I37*1000000) * I8 / 365)/1000000)</f>
        <v>90188.5</v>
      </c>
    </row>
    <row r="18" outlineLevel="1">
      <c r="A18" s="7" t="inlineStr">
        <is>
          <t xml:space="preserve">  Other Current Liabilities</t>
        </is>
      </c>
      <c r="B18" s="8" t="inlineStr">
        <is>
          <t>$m</t>
        </is>
      </c>
      <c r="C18" s="10" t="n">
        <v>58829</v>
      </c>
      <c r="D18" s="10" t="n">
        <v>78304</v>
      </c>
      <c r="E18" s="10" t="n">
        <v>66387</v>
      </c>
      <c r="F18" s="23">
        <f>((('Model'!F33*1000000) * F9)/1000000)</f>
        <v>71712.6</v>
      </c>
      <c r="G18" s="23">
        <f>((('Model'!G33*1000000) * G9)/1000000)</f>
        <v>77638.6</v>
      </c>
      <c r="H18" s="23">
        <f>((('Model'!H33*1000000) * H9)/1000000)</f>
        <v>81348.2</v>
      </c>
      <c r="I18" s="23">
        <f>((('Model'!I33*1000000) * I9)/1000000)</f>
        <v>84872.3</v>
      </c>
    </row>
    <row r="19" outlineLevel="1">
      <c r="A19" s="7" t="inlineStr">
        <is>
          <t xml:space="preserve">  Deferred Revenue</t>
        </is>
      </c>
      <c r="B19" s="8" t="inlineStr">
        <is>
          <t>$m</t>
        </is>
      </c>
      <c r="C19" s="10" t="n">
        <v>8061</v>
      </c>
      <c r="D19" s="10" t="n">
        <v>8249</v>
      </c>
      <c r="E19" s="10" t="n">
        <v>9055</v>
      </c>
      <c r="F19" s="23">
        <f>((('Model'!F32*1000000) * F10)/1000000)</f>
        <v>9824.2</v>
      </c>
      <c r="G19" s="23">
        <f>((('Model'!G32*1000000) * G10)/1000000)</f>
        <v>10904.9</v>
      </c>
      <c r="H19" s="23">
        <f>((('Model'!H32*1000000) * H10)/1000000)</f>
        <v>11995.4</v>
      </c>
      <c r="I19" s="23">
        <f>((('Model'!I32*1000000) * I10)/1000000)</f>
        <v>13075</v>
      </c>
    </row>
    <row r="20" outlineLevel="1">
      <c r="A20" s="7" t="inlineStr">
        <is>
          <t xml:space="preserve">  Other Non-Current Liabilities</t>
        </is>
      </c>
      <c r="B20" s="8" t="inlineStr">
        <is>
          <t>$m</t>
        </is>
      </c>
      <c r="C20" s="10" t="n">
        <v>49848</v>
      </c>
      <c r="D20" s="10" t="n">
        <v>45888</v>
      </c>
      <c r="E20" s="10" t="n">
        <v>41549</v>
      </c>
      <c r="F20" s="23">
        <f>((('Model'!F33*1000000) * F11)/1000000)</f>
        <v>45418</v>
      </c>
      <c r="G20" s="23">
        <f>((('Model'!G33*1000000) * G11)/1000000)</f>
        <v>46583.1</v>
      </c>
      <c r="H20" s="23">
        <f>((('Model'!H33*1000000) * H11)/1000000)</f>
        <v>46097.3</v>
      </c>
      <c r="I20" s="23">
        <f>((('Model'!I33*1000000) * I11)/1000000)</f>
        <v>45265.2</v>
      </c>
    </row>
    <row r="21">
      <c r="A21" s="5" t="inlineStr">
        <is>
          <t>Cash Flow Working Capital Bridge</t>
        </is>
      </c>
      <c r="B21" s="6" t="n"/>
      <c r="C21" s="6" t="n"/>
      <c r="D21" s="6" t="n"/>
      <c r="E21" s="6" t="n"/>
      <c r="F21" s="6" t="n"/>
      <c r="G21" s="6" t="n"/>
      <c r="H21" s="6" t="n"/>
      <c r="I21" s="6" t="n"/>
    </row>
    <row r="22" outlineLevel="1">
      <c r="A22" s="13" t="inlineStr">
        <is>
          <t xml:space="preserve">  Change in Accounts Receivable</t>
        </is>
      </c>
      <c r="B22" s="8" t="inlineStr">
        <is>
          <t>$m</t>
        </is>
      </c>
      <c r="C22" s="20" t="n">
        <v>-1688</v>
      </c>
      <c r="D22" s="20" t="n">
        <v>-3788</v>
      </c>
      <c r="E22" s="20" t="n">
        <v>-6682</v>
      </c>
      <c r="F22" s="22">
        <f>((-((F13*1000000) - (E13*1000000)))/1000000)</f>
        <v>-4101.9</v>
      </c>
      <c r="G22" s="22">
        <f>((-((G13*1000000) - (F13*1000000)))/1000000)</f>
        <v>-2916.9</v>
      </c>
      <c r="H22" s="22">
        <f>((-((H13*1000000) - (G13*1000000)))/1000000)</f>
        <v>-2236</v>
      </c>
      <c r="I22" s="22">
        <f>((-((I13*1000000) - (H13*1000000)))/1000000)</f>
        <v>-2124.1</v>
      </c>
    </row>
    <row r="23" outlineLevel="1">
      <c r="A23" s="13" t="inlineStr">
        <is>
          <t xml:space="preserve">  Change in Vendor Non-Trade Receivables</t>
        </is>
      </c>
      <c r="B23" s="8" t="inlineStr">
        <is>
          <t>$m</t>
        </is>
      </c>
      <c r="C23" s="20" t="n">
        <v>1271</v>
      </c>
      <c r="D23" s="20" t="n">
        <v>-1356</v>
      </c>
      <c r="E23" s="20" t="n">
        <v>-347</v>
      </c>
      <c r="F23" s="22">
        <f>((-((F14*1000000) - (E14*1000000)))/1000000)</f>
        <v>-5440</v>
      </c>
      <c r="G23" s="22">
        <f>((-((G14*1000000) - (F14*1000000)))/1000000)</f>
        <v>-2775.6</v>
      </c>
      <c r="H23" s="22">
        <f>((-((H14*1000000) - (G14*1000000)))/1000000)</f>
        <v>-1367.8</v>
      </c>
      <c r="I23" s="22">
        <f>((-((I14*1000000) - (H14*1000000)))/1000000)</f>
        <v>-1324.3</v>
      </c>
    </row>
    <row r="24" outlineLevel="1">
      <c r="A24" s="13" t="inlineStr">
        <is>
          <t xml:space="preserve">  Change in Inventories</t>
        </is>
      </c>
      <c r="B24" s="8" t="inlineStr">
        <is>
          <t>$m</t>
        </is>
      </c>
      <c r="C24" s="20" t="n">
        <v>-1618</v>
      </c>
      <c r="D24" s="20" t="n">
        <v>-1046</v>
      </c>
      <c r="E24" s="20" t="n">
        <v>1400</v>
      </c>
      <c r="F24" s="22">
        <f>((-((F15*1000000) - (E15*1000000)))/1000000)</f>
        <v>-1335.9</v>
      </c>
      <c r="G24" s="22">
        <f>((-((G15*1000000) - (F15*1000000)))/1000000)</f>
        <v>-507</v>
      </c>
      <c r="H24" s="22">
        <f>((-((H15*1000000) - (G15*1000000)))/1000000)</f>
        <v>-249.8</v>
      </c>
      <c r="I24" s="22">
        <f>((-((I15*1000000) - (H15*1000000)))/1000000)</f>
        <v>-241.9</v>
      </c>
    </row>
    <row r="25" outlineLevel="1">
      <c r="A25" s="13" t="inlineStr">
        <is>
          <t xml:space="preserve">  Change in Other Assets</t>
        </is>
      </c>
      <c r="B25" s="8" t="inlineStr">
        <is>
          <t>$m</t>
        </is>
      </c>
      <c r="C25" s="20" t="n">
        <v>-5684</v>
      </c>
      <c r="D25" s="20" t="n">
        <v>-11731</v>
      </c>
      <c r="E25" s="20" t="n">
        <v>-9197</v>
      </c>
      <c r="F25" s="22">
        <f>((-(((F16*1000000) + ('Model'!F70*1000000)) - ((E16*1000000) + ('Model'!E70*1000000))))/1000000)</f>
        <v>-14037.7</v>
      </c>
      <c r="G25" s="22">
        <f>((-(((G16*1000000) + ('Model'!G70*1000000)) - ((F16*1000000) + ('Model'!F70*1000000))))/1000000)</f>
        <v>-6696.1</v>
      </c>
      <c r="H25" s="22">
        <f>((-(((H16*1000000) + ('Model'!H70*1000000)) - ((G16*1000000) + ('Model'!G70*1000000))))/1000000)</f>
        <v>-2976.5</v>
      </c>
      <c r="I25" s="22">
        <f>((-(((I16*1000000) + ('Model'!I70*1000000)) - ((H16*1000000) + ('Model'!H70*1000000))))/1000000)</f>
        <v>-2457</v>
      </c>
    </row>
    <row r="26" outlineLevel="1">
      <c r="A26" s="13" t="inlineStr">
        <is>
          <t xml:space="preserve">  Change in Accounts Payable</t>
        </is>
      </c>
      <c r="B26" s="8" t="inlineStr">
        <is>
          <t>$m</t>
        </is>
      </c>
      <c r="C26" s="20" t="n">
        <v>-1889</v>
      </c>
      <c r="D26" s="20" t="n">
        <v>6020</v>
      </c>
      <c r="E26" s="20" t="n">
        <v>902</v>
      </c>
      <c r="F26" s="22">
        <f>(((F17*1000000) - (E17*1000000))/1000000)</f>
        <v>9143.4</v>
      </c>
      <c r="G26" s="22">
        <f>(((G17*1000000) - (F17*1000000))/1000000)</f>
        <v>5678</v>
      </c>
      <c r="H26" s="22">
        <f>(((H17*1000000) - (G17*1000000))/1000000)</f>
        <v>2798</v>
      </c>
      <c r="I26" s="22">
        <f>(((I17*1000000) - (H17*1000000))/1000000)</f>
        <v>2709</v>
      </c>
    </row>
    <row r="27" outlineLevel="1">
      <c r="A27" s="13" t="inlineStr">
        <is>
          <t xml:space="preserve">  Change in Deferred Revenue</t>
        </is>
      </c>
      <c r="B27" s="8" t="inlineStr">
        <is>
          <t>$m</t>
        </is>
      </c>
      <c r="C27" s="14" t="n"/>
      <c r="D27" s="14" t="n"/>
      <c r="E27" s="14" t="n"/>
      <c r="F27" s="22">
        <f>(((F19*1000000) - (E19*1000000))/1000000)</f>
        <v>769.2</v>
      </c>
      <c r="G27" s="22">
        <f>(((G19*1000000) - (F19*1000000))/1000000)</f>
        <v>1080.7</v>
      </c>
      <c r="H27" s="22">
        <f>(((H19*1000000) - (G19*1000000))/1000000)</f>
        <v>1090.5</v>
      </c>
      <c r="I27" s="22">
        <f>(((I19*1000000) - (H19*1000000))/1000000)</f>
        <v>1079.6</v>
      </c>
    </row>
    <row r="28" outlineLevel="1">
      <c r="A28" s="13" t="inlineStr">
        <is>
          <t xml:space="preserve">  Change in Other Liabilities</t>
        </is>
      </c>
      <c r="B28" s="8" t="inlineStr">
        <is>
          <t>$m</t>
        </is>
      </c>
      <c r="C28" s="20" t="n">
        <v>3031</v>
      </c>
      <c r="D28" s="20" t="n">
        <v>15552</v>
      </c>
      <c r="E28" s="20" t="n">
        <v>-11076</v>
      </c>
      <c r="F28" s="22">
        <f>((((F18*1000000) + (F20*1000000)) - ((E18*1000000) + (E20*1000000)))/1000000)</f>
        <v>9194.5</v>
      </c>
      <c r="G28" s="22">
        <f>((((G18*1000000) + (G20*1000000)) - ((F18*1000000) + (F20*1000000)))/1000000)</f>
        <v>7091.2</v>
      </c>
      <c r="H28" s="22">
        <f>((((H18*1000000) + (H20*1000000)) - ((G18*1000000) + (G20*1000000)))/1000000)</f>
        <v>3223.8</v>
      </c>
      <c r="I28" s="22">
        <f>((((I18*1000000) + (I20*1000000)) - ((H18*1000000) + (H20*1000000)))/1000000)</f>
        <v>2692</v>
      </c>
    </row>
    <row r="29">
      <c r="A29" s="7" t="inlineStr">
        <is>
          <t>Cash Generated by Operating Activities</t>
        </is>
      </c>
      <c r="B29" s="8" t="inlineStr">
        <is>
          <t>$m</t>
        </is>
      </c>
      <c r="C29" s="10" t="n">
        <v>110543</v>
      </c>
      <c r="D29" s="10" t="n">
        <v>118254</v>
      </c>
      <c r="E29" s="10" t="n">
        <v>111482</v>
      </c>
      <c r="F29" s="23">
        <f>((('Model'!F92*1000000) + ('Model'!F93*1000000) + ('Model'!F94*1000000) + ('Model'!F95*1000000) + (F22*1000000) + (F23*1000000) + (F24*1000000) + (F25*1000000) + (F26*1000000) + (F27*1000000) + (F28*1000000))/1000000)</f>
        <v>149028.6</v>
      </c>
      <c r="G29" s="23">
        <f>((('Model'!G92*1000000) + ('Model'!G93*1000000) + ('Model'!G94*1000000) + ('Model'!G95*1000000) + (G22*1000000) + (G23*1000000) + (G24*1000000) + (G25*1000000) + (G26*1000000) + (G27*1000000) + (G28*1000000))/1000000)</f>
        <v>169056.9</v>
      </c>
      <c r="H29" s="23">
        <f>((('Model'!H92*1000000) + ('Model'!H93*1000000) + ('Model'!H94*1000000) + ('Model'!H95*1000000) + (H22*1000000) + (H23*1000000) + (H24*1000000) + (H25*1000000) + (H26*1000000) + (H27*1000000) + (H28*1000000))/1000000)</f>
        <v>177872.8</v>
      </c>
      <c r="I29" s="23">
        <f>((('Model'!I92*1000000) + ('Model'!I93*1000000) + ('Model'!I94*1000000) + ('Model'!I95*1000000) + (I22*1000000) + (I23*1000000) + (I24*1000000) + (I25*1000000) + (I26*1000000) + (I27*1000000) + (I28*1000000))/1000000)</f>
        <v>186521.6</v>
      </c>
    </row>
  </sheetData>
  <pageMargins left="0.75" right="0.75" top="1" bottom="1" header="0.5" footer="0.5"/>
  <legacyDrawing r:id="anysvml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1"/>
    <pageSetUpPr/>
  </sheetPr>
  <dimension ref="A1:I10"/>
  <sheetViews>
    <sheetView showGridLines="0" zoomScale="85" zoomScaleNormal="85" workbookViewId="0">
      <pane xSplit="2" ySplit="2" topLeftCell="C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>
      <c r="C1" s="1" t="inlineStr">
        <is>
          <t>2023</t>
        </is>
      </c>
      <c r="D1" s="1" t="inlineStr">
        <is>
          <t>2024</t>
        </is>
      </c>
      <c r="E1" s="1" t="inlineStr">
        <is>
          <t>2025</t>
        </is>
      </c>
      <c r="F1" s="1" t="inlineStr">
        <is>
          <t>2026</t>
        </is>
      </c>
      <c r="G1" s="1" t="inlineStr">
        <is>
          <t>2027</t>
        </is>
      </c>
      <c r="H1" s="1" t="inlineStr">
        <is>
          <t>2028</t>
        </is>
      </c>
      <c r="I1" s="1" t="inlineStr">
        <is>
          <t>2029</t>
        </is>
      </c>
    </row>
    <row r="2">
      <c r="A2" s="2" t="inlineStr">
        <is>
          <t>Metric</t>
        </is>
      </c>
      <c r="B2" s="3" t="inlineStr">
        <is>
          <t>Units</t>
        </is>
      </c>
      <c r="C2" s="3" t="inlineStr">
        <is>
          <t>FY23</t>
        </is>
      </c>
      <c r="D2" s="3" t="inlineStr">
        <is>
          <t>FY24</t>
        </is>
      </c>
      <c r="E2" s="3" t="inlineStr">
        <is>
          <t>FY25</t>
        </is>
      </c>
      <c r="F2" s="4" t="inlineStr">
        <is>
          <t>FY26E</t>
        </is>
      </c>
      <c r="G2" s="4" t="inlineStr">
        <is>
          <t>FY27E</t>
        </is>
      </c>
      <c r="H2" s="4" t="inlineStr">
        <is>
          <t>FY28E</t>
        </is>
      </c>
      <c r="I2" s="4" t="inlineStr">
        <is>
          <t>FY29E</t>
        </is>
      </c>
    </row>
    <row r="3">
      <c r="A3" s="5" t="inlineStr">
        <is>
          <t>PP&amp;E / Capital Intensity</t>
        </is>
      </c>
      <c r="B3" s="6" t="n"/>
      <c r="C3" s="6" t="n"/>
      <c r="D3" s="6" t="n"/>
      <c r="E3" s="6" t="n"/>
      <c r="F3" s="6" t="n"/>
      <c r="G3" s="6" t="n"/>
      <c r="H3" s="6" t="n"/>
      <c r="I3" s="6" t="n"/>
    </row>
    <row r="4" outlineLevel="1">
      <c r="A4" s="13" t="inlineStr">
        <is>
          <t xml:space="preserve">  Capex / Revenue</t>
        </is>
      </c>
      <c r="B4" s="8" t="inlineStr">
        <is>
          <t>%</t>
        </is>
      </c>
      <c r="C4" s="15">
        <f>-(C7*1000000) / ('Model'!C33*1000000)</f>
        <v>0.029</v>
      </c>
      <c r="D4" s="15">
        <f>-(D7*1000000) / ('Model'!D33*1000000)</f>
        <v>0.024</v>
      </c>
      <c r="E4" s="15">
        <f>-(E7*1000000) / ('Model'!E33*1000000)</f>
        <v>0.031</v>
      </c>
      <c r="F4" s="17" t="n">
        <v>0.032</v>
      </c>
      <c r="G4" s="17" t="n">
        <v>0.032</v>
      </c>
      <c r="H4" s="17" t="n">
        <v>0.031</v>
      </c>
      <c r="I4" s="17" t="n">
        <v>0.031</v>
      </c>
    </row>
    <row r="5" outlineLevel="1">
      <c r="A5" s="13" t="inlineStr">
        <is>
          <t xml:space="preserve">  D&amp;A / Revenue</t>
        </is>
      </c>
      <c r="B5" s="8" t="inlineStr">
        <is>
          <t>%</t>
        </is>
      </c>
      <c r="C5" s="15">
        <f>(C8*1000000) / ('Model'!C33*1000000)</f>
        <v>0.03</v>
      </c>
      <c r="D5" s="15">
        <f>(D8*1000000) / ('Model'!D33*1000000)</f>
        <v>0.029</v>
      </c>
      <c r="E5" s="15">
        <f>(E8*1000000) / ('Model'!E33*1000000)</f>
        <v>0.028</v>
      </c>
      <c r="F5" s="17" t="n">
        <v>0.027</v>
      </c>
      <c r="G5" s="17" t="n">
        <v>0.027</v>
      </c>
      <c r="H5" s="17" t="n">
        <v>0.027</v>
      </c>
      <c r="I5" s="17" t="n">
        <v>0.027</v>
      </c>
    </row>
    <row r="6" outlineLevel="1">
      <c r="A6" s="13" t="inlineStr">
        <is>
          <t xml:space="preserve">  Other Non-Current Assets / Revenue</t>
        </is>
      </c>
      <c r="B6" s="8" t="inlineStr">
        <is>
          <t>%</t>
        </is>
      </c>
      <c r="C6" s="15">
        <f>(C10*1000000) / ('Model'!C33*1000000)</f>
        <v>0.169</v>
      </c>
      <c r="D6" s="15">
        <f>(D10*1000000) / ('Model'!D33*1000000)</f>
        <v>0.191</v>
      </c>
      <c r="E6" s="15">
        <f>(E10*1000000) / ('Model'!E33*1000000)</f>
        <v>0.201</v>
      </c>
      <c r="F6" s="17" t="n">
        <v>0.2</v>
      </c>
      <c r="G6" s="17" t="n">
        <v>0.195</v>
      </c>
      <c r="H6" s="17" t="n">
        <v>0.19</v>
      </c>
      <c r="I6" s="17" t="n">
        <v>0.185</v>
      </c>
    </row>
    <row r="7" outlineLevel="1">
      <c r="A7" s="13" t="inlineStr">
        <is>
          <t xml:space="preserve">  Capital Expenditures</t>
        </is>
      </c>
      <c r="B7" s="8" t="inlineStr">
        <is>
          <t>$m</t>
        </is>
      </c>
      <c r="C7" s="20" t="n">
        <v>-10959</v>
      </c>
      <c r="D7" s="20" t="n">
        <v>-9447</v>
      </c>
      <c r="E7" s="20" t="n">
        <v>-12715</v>
      </c>
      <c r="F7" s="22">
        <f>((-('Model'!F33*1000000) * F4)/1000000)</f>
        <v>-15298.7</v>
      </c>
      <c r="G7" s="22">
        <f>((-('Model'!G33*1000000) * G4)/1000000)</f>
        <v>-16562.9</v>
      </c>
      <c r="H7" s="22">
        <f>((-('Model'!H33*1000000) * H4)/1000000)</f>
        <v>-16812</v>
      </c>
      <c r="I7" s="22">
        <f>((-('Model'!I33*1000000) * I4)/1000000)</f>
        <v>-17540.3</v>
      </c>
    </row>
    <row r="8" outlineLevel="1">
      <c r="A8" s="13" t="inlineStr">
        <is>
          <t xml:space="preserve">  Depreciation and Amortization</t>
        </is>
      </c>
      <c r="B8" s="8" t="inlineStr">
        <is>
          <t>$m</t>
        </is>
      </c>
      <c r="C8" s="20" t="n">
        <v>11519</v>
      </c>
      <c r="D8" s="20" t="n">
        <v>11445</v>
      </c>
      <c r="E8" s="20" t="n">
        <v>11698</v>
      </c>
      <c r="F8" s="22">
        <f>((('Model'!F33*1000000) * F5)/1000000)</f>
        <v>12908.3</v>
      </c>
      <c r="G8" s="22">
        <f>((('Model'!G33*1000000) * G5)/1000000)</f>
        <v>13974.9</v>
      </c>
      <c r="H8" s="22">
        <f>((('Model'!H33*1000000) * H5)/1000000)</f>
        <v>14642.7</v>
      </c>
      <c r="I8" s="22">
        <f>((('Model'!I33*1000000) * I5)/1000000)</f>
        <v>15277</v>
      </c>
    </row>
    <row r="9">
      <c r="A9" s="7" t="inlineStr">
        <is>
          <t>Property, Plant and Equipment, Net</t>
        </is>
      </c>
      <c r="B9" s="8" t="inlineStr">
        <is>
          <t>$m</t>
        </is>
      </c>
      <c r="C9" s="10" t="n">
        <v>43715</v>
      </c>
      <c r="D9" s="10" t="n">
        <v>45680</v>
      </c>
      <c r="E9" s="10" t="n">
        <v>49834</v>
      </c>
      <c r="F9" s="23">
        <f>(((E9*1000000) - (F7*1000000) - (F8*1000000))/1000000)</f>
        <v>52224.4</v>
      </c>
      <c r="G9" s="23">
        <f>(((F9*1000000) - (G7*1000000) - (G8*1000000))/1000000)</f>
        <v>54812.4</v>
      </c>
      <c r="H9" s="23">
        <f>(((G9*1000000) - (H7*1000000) - (H8*1000000))/1000000)</f>
        <v>56981.7</v>
      </c>
      <c r="I9" s="23">
        <f>(((H9*1000000) - (I7*1000000) - (I8*1000000))/1000000)</f>
        <v>59244.9</v>
      </c>
    </row>
    <row r="10">
      <c r="A10" s="7" t="inlineStr">
        <is>
          <t>Other Non-Current Assets</t>
        </is>
      </c>
      <c r="B10" s="8" t="inlineStr">
        <is>
          <t>$m</t>
        </is>
      </c>
      <c r="C10" s="10" t="n">
        <v>64758</v>
      </c>
      <c r="D10" s="10" t="n">
        <v>74834</v>
      </c>
      <c r="E10" s="10" t="n">
        <v>83727</v>
      </c>
      <c r="F10" s="23">
        <f>((('Model'!F33*1000000) * F6)/1000000)</f>
        <v>95616.8</v>
      </c>
      <c r="G10" s="23">
        <f>((('Model'!G33*1000000) * G6)/1000000)</f>
        <v>100930.1</v>
      </c>
      <c r="H10" s="23">
        <f>((('Model'!H33*1000000) * H6)/1000000)</f>
        <v>103041.1</v>
      </c>
      <c r="I10" s="23">
        <f>((('Model'!I33*1000000) * I6)/1000000)</f>
        <v>104675.8</v>
      </c>
    </row>
  </sheetData>
  <pageMargins left="0.75" right="0.75" top="1" bottom="1" header="0.5" footer="0.5"/>
  <legacyDrawing r:id="anysvml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1"/>
    <pageSetUpPr/>
  </sheetPr>
  <dimension ref="A1:I21"/>
  <sheetViews>
    <sheetView showGridLines="0" zoomScale="85" zoomScaleNormal="85" workbookViewId="0">
      <pane xSplit="2" ySplit="2" topLeftCell="C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>
      <c r="C1" s="1" t="inlineStr">
        <is>
          <t>2023</t>
        </is>
      </c>
      <c r="D1" s="1" t="inlineStr">
        <is>
          <t>2024</t>
        </is>
      </c>
      <c r="E1" s="1" t="inlineStr">
        <is>
          <t>2025</t>
        </is>
      </c>
      <c r="F1" s="1" t="inlineStr">
        <is>
          <t>2026</t>
        </is>
      </c>
      <c r="G1" s="1" t="inlineStr">
        <is>
          <t>2027</t>
        </is>
      </c>
      <c r="H1" s="1" t="inlineStr">
        <is>
          <t>2028</t>
        </is>
      </c>
      <c r="I1" s="1" t="inlineStr">
        <is>
          <t>2029</t>
        </is>
      </c>
    </row>
    <row r="2">
      <c r="A2" s="2" t="inlineStr">
        <is>
          <t>Metric</t>
        </is>
      </c>
      <c r="B2" s="3" t="inlineStr">
        <is>
          <t>Units</t>
        </is>
      </c>
      <c r="C2" s="3" t="inlineStr">
        <is>
          <t>FY23</t>
        </is>
      </c>
      <c r="D2" s="3" t="inlineStr">
        <is>
          <t>FY24</t>
        </is>
      </c>
      <c r="E2" s="3" t="inlineStr">
        <is>
          <t>FY25</t>
        </is>
      </c>
      <c r="F2" s="4" t="inlineStr">
        <is>
          <t>FY26E</t>
        </is>
      </c>
      <c r="G2" s="4" t="inlineStr">
        <is>
          <t>FY27E</t>
        </is>
      </c>
      <c r="H2" s="4" t="inlineStr">
        <is>
          <t>FY28E</t>
        </is>
      </c>
      <c r="I2" s="4" t="inlineStr">
        <is>
          <t>FY29E</t>
        </is>
      </c>
    </row>
    <row r="3">
      <c r="A3" s="5" t="inlineStr">
        <is>
          <t>Debt Schedule</t>
        </is>
      </c>
      <c r="B3" s="6" t="n"/>
      <c r="C3" s="6" t="n"/>
      <c r="D3" s="6" t="n"/>
      <c r="E3" s="6" t="n"/>
      <c r="F3" s="6" t="n"/>
      <c r="G3" s="6" t="n"/>
      <c r="H3" s="6" t="n"/>
      <c r="I3" s="6" t="n"/>
    </row>
    <row r="4" outlineLevel="1">
      <c r="A4" s="13" t="inlineStr">
        <is>
          <t xml:space="preserve">  Commercial Paper</t>
        </is>
      </c>
      <c r="B4" s="8" t="inlineStr">
        <is>
          <t>$m</t>
        </is>
      </c>
      <c r="C4" s="20" t="n">
        <v>5985</v>
      </c>
      <c r="D4" s="20" t="n">
        <v>9967</v>
      </c>
      <c r="E4" s="20" t="n">
        <v>7979</v>
      </c>
      <c r="F4" s="21" t="n">
        <v>8000</v>
      </c>
      <c r="G4" s="21" t="n">
        <v>8000</v>
      </c>
      <c r="H4" s="21" t="n">
        <v>8000</v>
      </c>
      <c r="I4" s="21" t="n">
        <v>8000</v>
      </c>
    </row>
    <row r="5" outlineLevel="1">
      <c r="A5" s="13" t="inlineStr">
        <is>
          <t xml:space="preserve">  Current Term Debt</t>
        </is>
      </c>
      <c r="B5" s="8" t="inlineStr">
        <is>
          <t>$m</t>
        </is>
      </c>
      <c r="C5" s="20" t="n">
        <v>9822</v>
      </c>
      <c r="D5" s="20" t="n">
        <v>10912</v>
      </c>
      <c r="E5" s="20" t="n">
        <v>12350</v>
      </c>
      <c r="F5" s="21" t="n">
        <v>11000</v>
      </c>
      <c r="G5" s="21" t="n">
        <v>10500</v>
      </c>
      <c r="H5" s="21" t="n">
        <v>10000</v>
      </c>
      <c r="I5" s="21" t="n">
        <v>9500</v>
      </c>
    </row>
    <row r="6" outlineLevel="1">
      <c r="A6" s="13" t="inlineStr">
        <is>
          <t xml:space="preserve">  Long-Term Debt</t>
        </is>
      </c>
      <c r="B6" s="8" t="inlineStr">
        <is>
          <t>$m</t>
        </is>
      </c>
      <c r="C6" s="20" t="n">
        <v>95281</v>
      </c>
      <c r="D6" s="20" t="n">
        <v>85750</v>
      </c>
      <c r="E6" s="20" t="n">
        <v>78328</v>
      </c>
      <c r="F6" s="21" t="n">
        <v>75000</v>
      </c>
      <c r="G6" s="21" t="n">
        <v>72000</v>
      </c>
      <c r="H6" s="21" t="n">
        <v>69000</v>
      </c>
      <c r="I6" s="21" t="n">
        <v>66000</v>
      </c>
    </row>
    <row r="7">
      <c r="A7" s="7" t="inlineStr">
        <is>
          <t>Net Debt Issuance / (Repayment)</t>
        </is>
      </c>
      <c r="B7" s="8" t="inlineStr">
        <is>
          <t>$m</t>
        </is>
      </c>
      <c r="C7" s="10" t="n">
        <v>-9901</v>
      </c>
      <c r="D7" s="10" t="n">
        <v>-5998</v>
      </c>
      <c r="E7" s="10" t="n">
        <v>-8483</v>
      </c>
      <c r="F7" s="23">
        <f>((((F4*1000000) + (F5*1000000) + (F6*1000000)) - ((E4*1000000) + (E5*1000000) + (E6*1000000)))/1000000)</f>
        <v>-4657</v>
      </c>
      <c r="G7" s="23">
        <f>((((G4*1000000) + (G5*1000000) + (G6*1000000)) - ((F4*1000000) + (F5*1000000) + (F6*1000000)))/1000000)</f>
        <v>-3500</v>
      </c>
      <c r="H7" s="23">
        <f>((((H4*1000000) + (H5*1000000) + (H6*1000000)) - ((G4*1000000) + (G5*1000000) + (G6*1000000)))/1000000)</f>
        <v>-3500</v>
      </c>
      <c r="I7" s="23">
        <f>((((I4*1000000) + (I5*1000000) + (I6*1000000)) - ((H4*1000000) + (H5*1000000) + (H6*1000000)))/1000000)</f>
        <v>-3500</v>
      </c>
    </row>
    <row r="8">
      <c r="A8" s="5" t="inlineStr">
        <is>
          <t>Equity / Capital Return</t>
        </is>
      </c>
      <c r="B8" s="6" t="n"/>
      <c r="C8" s="6" t="n"/>
      <c r="D8" s="6" t="n"/>
      <c r="E8" s="6" t="n"/>
      <c r="F8" s="6" t="n"/>
      <c r="G8" s="6" t="n"/>
      <c r="H8" s="6" t="n"/>
      <c r="I8" s="6" t="n"/>
    </row>
    <row r="9" outlineLevel="1">
      <c r="A9" s="13" t="inlineStr">
        <is>
          <t xml:space="preserve">  Share-Based Compensation / Revenue</t>
        </is>
      </c>
      <c r="B9" s="8" t="inlineStr">
        <is>
          <t>%</t>
        </is>
      </c>
      <c r="C9" s="15">
        <f>(C10*1000000) / ('Model'!C33*1000000)</f>
        <v>0.028</v>
      </c>
      <c r="D9" s="15">
        <f>(D10*1000000) / ('Model'!D33*1000000)</f>
        <v>0.03</v>
      </c>
      <c r="E9" s="15">
        <f>(E10*1000000) / ('Model'!E33*1000000)</f>
        <v>0.031</v>
      </c>
      <c r="F9" s="17" t="n">
        <v>0.03</v>
      </c>
      <c r="G9" s="17" t="n">
        <v>0.03</v>
      </c>
      <c r="H9" s="17" t="n">
        <v>0.03</v>
      </c>
      <c r="I9" s="17" t="n">
        <v>0.03</v>
      </c>
    </row>
    <row r="10" outlineLevel="1">
      <c r="A10" s="13" t="inlineStr">
        <is>
          <t xml:space="preserve">  Share-Based Compensation</t>
        </is>
      </c>
      <c r="B10" s="8" t="inlineStr">
        <is>
          <t>$m</t>
        </is>
      </c>
      <c r="C10" s="20" t="n">
        <v>10833</v>
      </c>
      <c r="D10" s="20" t="n">
        <v>11688</v>
      </c>
      <c r="E10" s="20" t="n">
        <v>12863</v>
      </c>
      <c r="F10" s="22">
        <f>((('Model'!F33*1000000) * F9)/1000000)</f>
        <v>14342.5</v>
      </c>
      <c r="G10" s="22">
        <f>((('Model'!G33*1000000) * G9)/1000000)</f>
        <v>15527.7</v>
      </c>
      <c r="H10" s="22">
        <f>((('Model'!H33*1000000) * H9)/1000000)</f>
        <v>16269.6</v>
      </c>
      <c r="I10" s="22">
        <f>((('Model'!I33*1000000) * I9)/1000000)</f>
        <v>16974.5</v>
      </c>
    </row>
    <row r="11" outlineLevel="1">
      <c r="A11" s="13" t="inlineStr">
        <is>
          <t xml:space="preserve">  Equity Award Tax Payments / Revenue</t>
        </is>
      </c>
      <c r="B11" s="8" t="inlineStr">
        <is>
          <t>%</t>
        </is>
      </c>
      <c r="C11" s="15">
        <f>-(C12*1000000) / ('Model'!C33*1000000)</f>
        <v>0.014</v>
      </c>
      <c r="D11" s="15">
        <f>-(D12*1000000) / ('Model'!D33*1000000)</f>
        <v>0.014</v>
      </c>
      <c r="E11" s="15">
        <f>-(E12*1000000) / ('Model'!E33*1000000)</f>
        <v>0.014</v>
      </c>
      <c r="F11" s="17" t="n">
        <v>0.012</v>
      </c>
      <c r="G11" s="17" t="n">
        <v>0.012</v>
      </c>
      <c r="H11" s="17" t="n">
        <v>0.012</v>
      </c>
      <c r="I11" s="17" t="n">
        <v>0.012</v>
      </c>
    </row>
    <row r="12" outlineLevel="1">
      <c r="A12" s="13" t="inlineStr">
        <is>
          <t xml:space="preserve">  Taxes Paid for Net Share Settlement of Equity Awards</t>
        </is>
      </c>
      <c r="B12" s="8" t="inlineStr">
        <is>
          <t>$m</t>
        </is>
      </c>
      <c r="C12" s="20" t="n">
        <v>-5431</v>
      </c>
      <c r="D12" s="20" t="n">
        <v>-5441</v>
      </c>
      <c r="E12" s="20" t="n">
        <v>-5960</v>
      </c>
      <c r="F12" s="22">
        <f>((-('Model'!F33*1000000) * F11)/1000000)</f>
        <v>-5737</v>
      </c>
      <c r="G12" s="22">
        <f>((-('Model'!G33*1000000) * G11)/1000000)</f>
        <v>-6211.1</v>
      </c>
      <c r="H12" s="22">
        <f>((-('Model'!H33*1000000) * H11)/1000000)</f>
        <v>-6507.9</v>
      </c>
      <c r="I12" s="22">
        <f>((-('Model'!I33*1000000) * I11)/1000000)</f>
        <v>-6789.8</v>
      </c>
    </row>
    <row r="13" outlineLevel="1">
      <c r="A13" s="13" t="inlineStr">
        <is>
          <t xml:space="preserve">  Dividend per Share</t>
        </is>
      </c>
      <c r="B13" s="8" t="inlineStr">
        <is>
          <t>$</t>
        </is>
      </c>
      <c r="C13" s="18">
        <f>-(C14*1000000) / (C17*1000000)</f>
        <v>0.95</v>
      </c>
      <c r="D13" s="18">
        <f>-(D14*1000000) / (D17*1000000)</f>
        <v>0.99</v>
      </c>
      <c r="E13" s="18">
        <f>-(E14*1000000) / (E17*1000000)</f>
        <v>1.03</v>
      </c>
      <c r="F13" s="19" t="n">
        <v>1.08</v>
      </c>
      <c r="G13" s="19" t="n">
        <v>1.12</v>
      </c>
      <c r="H13" s="19" t="n">
        <v>1.17</v>
      </c>
      <c r="I13" s="19" t="n">
        <v>1.22</v>
      </c>
    </row>
    <row r="14" outlineLevel="1">
      <c r="A14" s="13" t="inlineStr">
        <is>
          <t xml:space="preserve">  Dividends Paid</t>
        </is>
      </c>
      <c r="B14" s="8" t="inlineStr">
        <is>
          <t>$m</t>
        </is>
      </c>
      <c r="C14" s="20" t="n">
        <v>-15025</v>
      </c>
      <c r="D14" s="20" t="n">
        <v>-15234</v>
      </c>
      <c r="E14" s="20" t="n">
        <v>-15421</v>
      </c>
      <c r="F14" s="22">
        <f>((-F13 * (F17*1000000))/1000000)</f>
        <v>-15799.9</v>
      </c>
      <c r="G14" s="22">
        <f>((-G13 * (G17*1000000))/1000000)</f>
        <v>-15975.5</v>
      </c>
      <c r="H14" s="22">
        <f>((-H13 * (H17*1000000))/1000000)</f>
        <v>-16271.5</v>
      </c>
      <c r="I14" s="22">
        <f>((-I13 * (I17*1000000))/1000000)</f>
        <v>-16542.7</v>
      </c>
    </row>
    <row r="15" outlineLevel="1">
      <c r="A15" s="13" t="inlineStr">
        <is>
          <t xml:space="preserve">  Share Repurchases</t>
        </is>
      </c>
      <c r="B15" s="8" t="inlineStr">
        <is>
          <t>$m</t>
        </is>
      </c>
      <c r="C15" s="20" t="n">
        <v>-77550</v>
      </c>
      <c r="D15" s="20" t="n">
        <v>-94949</v>
      </c>
      <c r="E15" s="20" t="n">
        <v>-90711</v>
      </c>
      <c r="F15" s="21" t="n">
        <v>-90000</v>
      </c>
      <c r="G15" s="21" t="n">
        <v>-90000</v>
      </c>
      <c r="H15" s="21" t="n">
        <v>-85000</v>
      </c>
      <c r="I15" s="21" t="n">
        <v>-80000</v>
      </c>
    </row>
    <row r="16" outlineLevel="1">
      <c r="A16" s="13" t="inlineStr">
        <is>
          <t xml:space="preserve">  Diluted Share Count Reduction</t>
        </is>
      </c>
      <c r="B16" s="8" t="inlineStr">
        <is>
          <t>%</t>
        </is>
      </c>
      <c r="C16" s="14" t="n"/>
      <c r="D16" s="14" t="n"/>
      <c r="E16" s="14" t="n"/>
      <c r="F16" s="17" t="n">
        <v>0.025</v>
      </c>
      <c r="G16" s="17" t="n">
        <v>0.025</v>
      </c>
      <c r="H16" s="17" t="n">
        <v>0.025</v>
      </c>
      <c r="I16" s="17" t="n">
        <v>0.025</v>
      </c>
    </row>
    <row r="17" outlineLevel="1">
      <c r="A17" s="13" t="inlineStr">
        <is>
          <t xml:space="preserve">  Diluted Shares Outstanding</t>
        </is>
      </c>
      <c r="B17" s="8" t="inlineStr">
        <is>
          <t>#m</t>
        </is>
      </c>
      <c r="C17" s="20" t="n">
        <v>15812.5</v>
      </c>
      <c r="D17" s="20" t="n">
        <v>15408.1</v>
      </c>
      <c r="E17" s="20" t="n">
        <v>15004.7</v>
      </c>
      <c r="F17" s="22">
        <f>(((E17*1000000) * (1 - F16))/1000000)</f>
        <v>14629.6</v>
      </c>
      <c r="G17" s="22">
        <f>(((F17*1000000) * (1 - G16))/1000000)</f>
        <v>14263.8</v>
      </c>
      <c r="H17" s="22">
        <f>(((G17*1000000) * (1 - H16))/1000000)</f>
        <v>13907.2</v>
      </c>
      <c r="I17" s="22">
        <f>(((H17*1000000) * (1 - I16))/1000000)</f>
        <v>13559.6</v>
      </c>
    </row>
    <row r="18" outlineLevel="1">
      <c r="A18" s="13" t="inlineStr">
        <is>
          <t xml:space="preserve">  Common Stock and APIC</t>
        </is>
      </c>
      <c r="B18" s="8" t="inlineStr">
        <is>
          <t>$m</t>
        </is>
      </c>
      <c r="C18" s="20" t="n">
        <v>73812</v>
      </c>
      <c r="D18" s="20" t="n">
        <v>83276</v>
      </c>
      <c r="E18" s="20" t="n">
        <v>93568</v>
      </c>
      <c r="F18" s="22">
        <f>(((E18*1000000) + (F10*1000000) + (F12*1000000))/1000000)</f>
        <v>102173.5</v>
      </c>
      <c r="G18" s="22">
        <f>(((F18*1000000) + (G10*1000000) + (G12*1000000))/1000000)</f>
        <v>111490.1</v>
      </c>
      <c r="H18" s="22">
        <f>(((G18*1000000) + (H10*1000000) + (H12*1000000))/1000000)</f>
        <v>121251.9</v>
      </c>
      <c r="I18" s="22">
        <f>(((H18*1000000) + (I10*1000000) + (I12*1000000))/1000000)</f>
        <v>131436.6</v>
      </c>
    </row>
    <row r="19" outlineLevel="1">
      <c r="A19" s="13" t="inlineStr">
        <is>
          <t xml:space="preserve">  Accumulated Deficit / Retained Earnings</t>
        </is>
      </c>
      <c r="B19" s="8" t="inlineStr">
        <is>
          <t>$m</t>
        </is>
      </c>
      <c r="C19" s="20" t="n">
        <v>-214</v>
      </c>
      <c r="D19" s="20" t="n">
        <v>-19154</v>
      </c>
      <c r="E19" s="20" t="n">
        <v>-14264</v>
      </c>
      <c r="F19" s="22">
        <f>(((E19*1000000) + ('Model'!F92*1000000) + (F14*1000000) + (F15*1000000))/1000000)</f>
        <v>7522.1</v>
      </c>
      <c r="G19" s="22">
        <f>(((F19*1000000) + ('Model'!G92*1000000) + (G14*1000000) + (G15*1000000))/1000000)</f>
        <v>40146.6</v>
      </c>
      <c r="H19" s="22">
        <f>(((G19*1000000) + ('Model'!H92*1000000) + (H14*1000000) + (H15*1000000))/1000000)</f>
        <v>85553.3</v>
      </c>
      <c r="I19" s="22">
        <f>(((H19*1000000) + ('Model'!I92*1000000) + (I14*1000000) + (I15*1000000))/1000000)</f>
        <v>142947.5</v>
      </c>
    </row>
    <row r="20" outlineLevel="1">
      <c r="A20" s="13" t="inlineStr">
        <is>
          <t xml:space="preserve">  Accumulated Other Comprehensive Loss</t>
        </is>
      </c>
      <c r="B20" s="8" t="inlineStr">
        <is>
          <t>$m</t>
        </is>
      </c>
      <c r="C20" s="20" t="n">
        <v>-11452</v>
      </c>
      <c r="D20" s="20" t="n">
        <v>-7172</v>
      </c>
      <c r="E20" s="20" t="n">
        <v>-5571</v>
      </c>
      <c r="F20" s="22">
        <f>(((E20*1000000))/1000000)</f>
        <v>-5571</v>
      </c>
      <c r="G20" s="22">
        <f>(((F20*1000000))/1000000)</f>
        <v>-5571</v>
      </c>
      <c r="H20" s="22">
        <f>(((G20*1000000))/1000000)</f>
        <v>-5571</v>
      </c>
      <c r="I20" s="22">
        <f>(((H20*1000000))/1000000)</f>
        <v>-5571</v>
      </c>
    </row>
    <row r="21">
      <c r="A21" s="7" t="inlineStr">
        <is>
          <t>Total Shareholders' Equity</t>
        </is>
      </c>
      <c r="B21" s="8" t="inlineStr">
        <is>
          <t>$m</t>
        </is>
      </c>
      <c r="C21" s="10">
        <f>(((C18*1000000) + (C19*1000000) + (C20*1000000))/1000000)</f>
        <v>62146</v>
      </c>
      <c r="D21" s="10">
        <f>(((D18*1000000) + (D19*1000000) + (D20*1000000))/1000000)</f>
        <v>56950</v>
      </c>
      <c r="E21" s="10">
        <f>(((E18*1000000) + (E19*1000000) + (E20*1000000))/1000000)</f>
        <v>73733</v>
      </c>
      <c r="F21" s="23">
        <f>(((F18*1000000) + (F19*1000000) + (F20*1000000))/1000000)</f>
        <v>104124.7</v>
      </c>
      <c r="G21" s="23">
        <f>(((G18*1000000) + (G19*1000000) + (G20*1000000))/1000000)</f>
        <v>146065.8</v>
      </c>
      <c r="H21" s="23">
        <f>(((H18*1000000) + (H19*1000000) + (H20*1000000))/1000000)</f>
        <v>201234.3</v>
      </c>
      <c r="I21" s="23">
        <f>(((I18*1000000) + (I19*1000000) + (I20*1000000))/1000000)</f>
        <v>268813.1</v>
      </c>
    </row>
  </sheetData>
  <pageMargins left="0.75" right="0.75" top="1" bottom="1" header="0.5" footer="0.5"/>
  <legacyDrawing r:id="anysvml"/>
</worksheet>
</file>

<file path=xl/worksheets/sheet6.xml><?xml version="1.0" encoding="utf-8"?>
<worksheet xmlns="http://schemas.openxmlformats.org/spreadsheetml/2006/main">
  <sheetPr>
    <outlinePr summaryBelow="0" summaryRight="1"/>
    <pageSetUpPr/>
  </sheetPr>
  <dimension ref="A1:I7"/>
  <sheetViews>
    <sheetView showGridLines="0" zoomScale="85" zoomScaleNormal="85" workbookViewId="0">
      <pane xSplit="2" ySplit="2" topLeftCell="C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>
      <c r="C1" s="1" t="inlineStr">
        <is>
          <t>2023</t>
        </is>
      </c>
      <c r="D1" s="1" t="inlineStr">
        <is>
          <t>2024</t>
        </is>
      </c>
      <c r="E1" s="1" t="inlineStr">
        <is>
          <t>2025</t>
        </is>
      </c>
      <c r="F1" s="1" t="inlineStr">
        <is>
          <t>2026</t>
        </is>
      </c>
      <c r="G1" s="1" t="inlineStr">
        <is>
          <t>2027</t>
        </is>
      </c>
      <c r="H1" s="1" t="inlineStr">
        <is>
          <t>2028</t>
        </is>
      </c>
      <c r="I1" s="1" t="inlineStr">
        <is>
          <t>2029</t>
        </is>
      </c>
    </row>
    <row r="2">
      <c r="A2" s="2" t="inlineStr">
        <is>
          <t>Metric</t>
        </is>
      </c>
      <c r="B2" s="3" t="inlineStr">
        <is>
          <t>Units</t>
        </is>
      </c>
      <c r="C2" s="3" t="inlineStr">
        <is>
          <t>FY23</t>
        </is>
      </c>
      <c r="D2" s="3" t="inlineStr">
        <is>
          <t>FY24</t>
        </is>
      </c>
      <c r="E2" s="3" t="inlineStr">
        <is>
          <t>FY25</t>
        </is>
      </c>
      <c r="F2" s="4" t="inlineStr">
        <is>
          <t>FY26E</t>
        </is>
      </c>
      <c r="G2" s="4" t="inlineStr">
        <is>
          <t>FY27E</t>
        </is>
      </c>
      <c r="H2" s="4" t="inlineStr">
        <is>
          <t>FY28E</t>
        </is>
      </c>
      <c r="I2" s="4" t="inlineStr">
        <is>
          <t>FY29E</t>
        </is>
      </c>
    </row>
    <row r="3">
      <c r="A3" s="5" t="inlineStr">
        <is>
          <t>Sources and Links</t>
        </is>
      </c>
      <c r="B3" s="6" t="n"/>
      <c r="C3" s="6" t="n"/>
      <c r="D3" s="6" t="n"/>
      <c r="E3" s="6" t="n"/>
      <c r="F3" s="6" t="n"/>
      <c r="G3" s="6" t="n"/>
      <c r="H3" s="6" t="n"/>
      <c r="I3" s="6" t="n"/>
    </row>
    <row r="4">
      <c r="A4" s="7" t="inlineStr">
        <is>
          <t>Source: FY2025 Form 10-K</t>
        </is>
      </c>
      <c r="B4" s="8" t="inlineStr">
        <is>
          <t>#</t>
        </is>
      </c>
      <c r="C4" s="9" t="n"/>
      <c r="D4" s="9" t="n"/>
      <c r="E4" s="10" t="n">
        <v>1</v>
      </c>
      <c r="F4" s="12" t="n"/>
      <c r="G4" s="12" t="n"/>
      <c r="H4" s="12" t="n"/>
      <c r="I4" s="12" t="n"/>
    </row>
    <row r="5">
      <c r="A5" s="7" t="inlineStr">
        <is>
          <t>Source: Q4 FY2025 Press Release</t>
        </is>
      </c>
      <c r="B5" s="8" t="inlineStr">
        <is>
          <t>#</t>
        </is>
      </c>
      <c r="C5" s="9" t="n"/>
      <c r="D5" s="9" t="n"/>
      <c r="E5" s="10" t="n">
        <v>1</v>
      </c>
      <c r="F5" s="12" t="n"/>
      <c r="G5" s="12" t="n"/>
      <c r="H5" s="12" t="n"/>
      <c r="I5" s="12" t="n"/>
    </row>
    <row r="6">
      <c r="A6" s="7" t="inlineStr">
        <is>
          <t>Source: FY2024 Form 10-K</t>
        </is>
      </c>
      <c r="B6" s="8" t="inlineStr">
        <is>
          <t>#</t>
        </is>
      </c>
      <c r="C6" s="10" t="n">
        <v>1</v>
      </c>
      <c r="D6" s="9" t="n"/>
      <c r="E6" s="9" t="n"/>
      <c r="F6" s="12" t="n"/>
      <c r="G6" s="12" t="n"/>
      <c r="H6" s="12" t="n"/>
      <c r="I6" s="12" t="n"/>
    </row>
    <row r="7">
      <c r="A7" s="7" t="inlineStr">
        <is>
          <t>Source: Consensus Estimates</t>
        </is>
      </c>
      <c r="B7" s="8" t="inlineStr">
        <is>
          <t>#</t>
        </is>
      </c>
      <c r="C7" s="9" t="n"/>
      <c r="D7" s="9" t="n"/>
      <c r="E7" s="9" t="n"/>
      <c r="F7" s="11" t="n">
        <v>1</v>
      </c>
      <c r="G7" s="12" t="n"/>
      <c r="H7" s="12" t="n"/>
      <c r="I7" s="12" t="n"/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Primer</dc:creator>
  <dc:title>Apple Inc. — Integrated Three-Statement Model</dc:title>
  <dc:subject>Primer model export</dc:subject>
  <dcterms:created xsi:type="dcterms:W3CDTF">2026-05-25T12:03:42Z</dcterms:created>
  <dcterms:modified xsi:type="dcterms:W3CDTF">2026-05-25T12:03:43Z</dcterms:modified>
  <cp:keywords>Primer,Model,Excel export</cp:keywords>
</cp:coreProperties>
</file>